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mc:AlternateContent xmlns:mc="http://schemas.openxmlformats.org/markup-compatibility/2006">
    <mc:Choice Requires="x15">
      <x15ac:absPath xmlns:x15ac="http://schemas.microsoft.com/office/spreadsheetml/2010/11/ac" url="https://rotterdam-my.sharepoint.com/personal/956102_rotterdam_nl/Documents/Bureaublad/"/>
    </mc:Choice>
  </mc:AlternateContent>
  <xr:revisionPtr revIDLastSave="7" documentId="8_{D39F8D95-117F-4BCB-91B3-6945FC80C28D}" xr6:coauthVersionLast="47" xr6:coauthVersionMax="47" xr10:uidLastSave="{7089713A-FE9B-4380-8E35-DE3A781D1738}"/>
  <bookViews>
    <workbookView xWindow="-108" yWindow="-108" windowWidth="23256" windowHeight="13896" tabRatio="614" xr2:uid="{00000000-000D-0000-FFFF-FFFF00000000}"/>
  </bookViews>
  <sheets>
    <sheet name="Rekensheet" sheetId="2" r:id="rId1"/>
    <sheet name="Data" sheetId="1" r:id="rId2"/>
    <sheet name="Aansluitcategorie" sheetId="3" r:id="rId3"/>
  </sheets>
  <definedNames>
    <definedName name="cos_phi">Aansluitcategorie!$B$1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2" l="1" a="1"/>
  <c r="K27" i="2" s="1"/>
  <c r="K28" i="2" a="1"/>
  <c r="K28" i="2" s="1"/>
  <c r="K29" i="2" a="1"/>
  <c r="K29" i="2" s="1"/>
  <c r="K30" i="2" a="1"/>
  <c r="K30" i="2" s="1"/>
  <c r="K31" i="2" a="1"/>
  <c r="K31" i="2" s="1"/>
  <c r="K32" i="2" a="1"/>
  <c r="K32" i="2" s="1"/>
  <c r="K33" i="2" a="1"/>
  <c r="K33" i="2" s="1"/>
  <c r="K34" i="2" a="1"/>
  <c r="K34" i="2" s="1"/>
  <c r="K35" i="2" a="1"/>
  <c r="K35" i="2" s="1"/>
  <c r="K36" i="2" a="1"/>
  <c r="K36" i="2" s="1"/>
  <c r="K37" i="2" a="1"/>
  <c r="K37" i="2" s="1"/>
  <c r="K38" i="2" a="1"/>
  <c r="K38" i="2" s="1"/>
  <c r="K39" i="2" a="1"/>
  <c r="K39" i="2" s="1"/>
  <c r="K40" i="2" a="1"/>
  <c r="K40" i="2" s="1"/>
  <c r="K41" i="2" a="1"/>
  <c r="K41" i="2" s="1"/>
  <c r="K42" i="2" a="1"/>
  <c r="K42" i="2" s="1"/>
  <c r="K43" i="2" a="1"/>
  <c r="K43" i="2" s="1"/>
  <c r="K44" i="2" a="1"/>
  <c r="K44" i="2" s="1"/>
  <c r="K45" i="2" a="1"/>
  <c r="K45" i="2" s="1"/>
  <c r="K46" i="2" a="1"/>
  <c r="K46" i="2" s="1"/>
  <c r="K47" i="2" a="1"/>
  <c r="K47" i="2" s="1"/>
  <c r="K48" i="2" a="1"/>
  <c r="K48" i="2" s="1"/>
  <c r="K49" i="2" a="1"/>
  <c r="K49" i="2" s="1"/>
  <c r="K50" i="2" a="1"/>
  <c r="K50" i="2" s="1"/>
  <c r="K24" i="2" a="1"/>
  <c r="K23" i="2" a="1"/>
  <c r="K26" i="2" a="1"/>
  <c r="K25" i="2" a="1"/>
  <c r="K22" i="2" a="1"/>
  <c r="K21" i="2" a="1"/>
  <c r="K26" i="2" l="1"/>
  <c r="K25" i="2"/>
  <c r="K24" i="2"/>
  <c r="K22" i="2"/>
  <c r="K21" i="2"/>
  <c r="K23" i="2"/>
  <c r="A4" i="3" l="1"/>
  <c r="A9" i="3" l="1"/>
  <c r="A8" i="3"/>
  <c r="A7" i="3"/>
  <c r="A6" i="3"/>
  <c r="A5" i="3"/>
  <c r="E49" i="2" a="1"/>
  <c r="C39" i="2" a="1"/>
  <c r="C41" i="2" a="1"/>
  <c r="I50" i="2" a="1"/>
  <c r="I42" i="2" a="1"/>
  <c r="J43" i="2" a="1"/>
  <c r="L43" i="2" a="1"/>
  <c r="I45" i="2" a="1"/>
  <c r="O46" i="2" a="1"/>
  <c r="O29" i="2" a="1"/>
  <c r="J40" i="2" a="1"/>
  <c r="O35" i="2" a="1"/>
  <c r="O30" i="2" a="1"/>
  <c r="C43" i="2" a="1"/>
  <c r="E46" i="2" a="1"/>
  <c r="E28" i="2" a="1"/>
  <c r="E32" i="2" a="1"/>
  <c r="C31" i="2" a="1"/>
  <c r="E33" i="2" a="1"/>
  <c r="C27" i="2" a="1"/>
  <c r="E29" i="2" a="1"/>
  <c r="C35" i="2" a="1"/>
  <c r="L50" i="2" a="1"/>
  <c r="I47" i="2" a="1"/>
  <c r="C28" i="2" a="1"/>
  <c r="E45" i="2" a="1"/>
  <c r="I38" i="2" a="1"/>
  <c r="J46" i="2" a="1"/>
  <c r="O48" i="2" a="1"/>
  <c r="O50" i="2" a="1"/>
  <c r="E27" i="2" a="1"/>
  <c r="L38" i="2" a="1"/>
  <c r="I40" i="2" a="1"/>
  <c r="O44" i="2" a="1"/>
  <c r="C33" i="2" a="1"/>
  <c r="L49" i="2" a="1"/>
  <c r="J49" i="2" a="1"/>
  <c r="L40" i="2" a="1"/>
  <c r="L41" i="2" a="1"/>
  <c r="J50" i="2" a="1"/>
  <c r="I41" i="2" a="1"/>
  <c r="C49" i="2" a="1"/>
  <c r="O28" i="2" a="1"/>
  <c r="E44" i="2" a="1"/>
  <c r="L46" i="2" a="1"/>
  <c r="C48" i="2" a="1"/>
  <c r="L48" i="2" a="1"/>
  <c r="J38" i="2" a="1"/>
  <c r="J42" i="2" a="1"/>
  <c r="C47" i="2" a="1"/>
  <c r="L42" i="2" a="1"/>
  <c r="J39" i="2" a="1"/>
  <c r="E47" i="2" a="1"/>
  <c r="C37" i="2" a="1"/>
  <c r="J41" i="2" a="1"/>
  <c r="C32" i="2" a="1"/>
  <c r="E36" i="2" a="1"/>
  <c r="C36" i="2" a="1"/>
  <c r="C29" i="2" a="1"/>
  <c r="C46" i="2" a="1"/>
  <c r="E48" i="2" a="1"/>
  <c r="C34" i="2" a="1"/>
  <c r="O36" i="2" a="1"/>
  <c r="I48" i="2" a="1"/>
  <c r="C38" i="2" a="1"/>
  <c r="L47" i="2" a="1"/>
  <c r="L44" i="2" a="1"/>
  <c r="C30" i="2" a="1"/>
  <c r="O39" i="2" a="1"/>
  <c r="C50" i="2" a="1"/>
  <c r="J48" i="2" a="1"/>
  <c r="E50" i="2" a="1"/>
  <c r="E38" i="2" a="1"/>
  <c r="I44" i="2" a="1"/>
  <c r="I43" i="2" a="1"/>
  <c r="L39" i="2" a="1"/>
  <c r="O40" i="2" a="1"/>
  <c r="E39" i="2" a="1"/>
  <c r="E35" i="2" a="1"/>
  <c r="J44" i="2" a="1"/>
  <c r="O38" i="2" a="1"/>
  <c r="L45" i="2" a="1"/>
  <c r="O33" i="2" a="1"/>
  <c r="O47" i="2" a="1"/>
  <c r="C40" i="2" a="1"/>
  <c r="I39" i="2" a="1"/>
  <c r="I49" i="2" a="1"/>
  <c r="O31" i="2" a="1"/>
  <c r="C45" i="2" a="1"/>
  <c r="O41" i="2" a="1"/>
  <c r="O49" i="2" a="1"/>
  <c r="E40" i="2" a="1"/>
  <c r="O32" i="2" a="1"/>
  <c r="E42" i="2" a="1"/>
  <c r="E34" i="2" a="1"/>
  <c r="J45" i="2" a="1"/>
  <c r="O37" i="2" a="1"/>
  <c r="C44" i="2" a="1"/>
  <c r="O42" i="2" a="1"/>
  <c r="E31" i="2" a="1"/>
  <c r="J47" i="2" a="1"/>
  <c r="O43" i="2" a="1"/>
  <c r="I46" i="2" a="1"/>
  <c r="E37" i="2" a="1"/>
  <c r="C42" i="2" a="1"/>
  <c r="O45" i="2" a="1"/>
  <c r="E30" i="2" a="1"/>
  <c r="E43" i="2" a="1"/>
  <c r="O34" i="2" a="1"/>
  <c r="O27" i="2" a="1"/>
  <c r="E41" i="2" a="1"/>
  <c r="O25" i="2" a="1"/>
  <c r="C23" i="2" a="1"/>
  <c r="E25" i="2" a="1"/>
  <c r="C25" i="2" a="1"/>
  <c r="C26" i="2" a="1"/>
  <c r="E26" i="2" a="1"/>
  <c r="O24" i="2" a="1"/>
  <c r="O26" i="2" a="1"/>
  <c r="E24" i="2" a="1"/>
  <c r="E23" i="2" a="1"/>
  <c r="O23" i="2" a="1"/>
  <c r="C24" i="2" a="1"/>
  <c r="O22" i="2" a="1"/>
  <c r="O21" i="2" a="1"/>
  <c r="C21" i="2" a="1"/>
  <c r="E22" i="2" a="1"/>
  <c r="C22" i="2" a="1"/>
  <c r="E21" i="2" a="1"/>
  <c r="C26" i="2" l="1"/>
  <c r="C34" i="2"/>
  <c r="C46" i="2"/>
  <c r="I50" i="2"/>
  <c r="I40" i="2"/>
  <c r="E44" i="2"/>
  <c r="J47" i="2"/>
  <c r="L46" i="2"/>
  <c r="J43" i="2"/>
  <c r="E40" i="2"/>
  <c r="C43" i="2"/>
  <c r="C44" i="2"/>
  <c r="C40" i="2"/>
  <c r="O44" i="2"/>
  <c r="E47" i="2"/>
  <c r="E42" i="2"/>
  <c r="L39" i="2"/>
  <c r="J39" i="2"/>
  <c r="J50" i="2"/>
  <c r="L40" i="2"/>
  <c r="J40" i="2"/>
  <c r="O41" i="2"/>
  <c r="L44" i="2"/>
  <c r="L48" i="2"/>
  <c r="J41" i="2"/>
  <c r="I44" i="2"/>
  <c r="I41" i="2"/>
  <c r="J48" i="2"/>
  <c r="I48" i="2"/>
  <c r="O38" i="2"/>
  <c r="C41" i="2"/>
  <c r="E45" i="2"/>
  <c r="E48" i="2"/>
  <c r="E46" i="2"/>
  <c r="O46" i="2"/>
  <c r="L43" i="2"/>
  <c r="I43" i="2"/>
  <c r="L47" i="2"/>
  <c r="C47" i="2"/>
  <c r="L41" i="2"/>
  <c r="O48" i="2"/>
  <c r="J44" i="2"/>
  <c r="L38" i="2"/>
  <c r="I45" i="2"/>
  <c r="J38" i="2"/>
  <c r="E41" i="2"/>
  <c r="O45" i="2"/>
  <c r="I38" i="2"/>
  <c r="J42" i="2"/>
  <c r="L45" i="2"/>
  <c r="C48" i="2"/>
  <c r="C42" i="2"/>
  <c r="I39" i="2"/>
  <c r="E39" i="2"/>
  <c r="I47" i="2"/>
  <c r="O47" i="2"/>
  <c r="E38" i="2"/>
  <c r="L42" i="2"/>
  <c r="C38" i="2"/>
  <c r="J45" i="2"/>
  <c r="I49" i="2"/>
  <c r="C39" i="2"/>
  <c r="O42" i="2"/>
  <c r="C45" i="2"/>
  <c r="E49" i="2"/>
  <c r="O39" i="2"/>
  <c r="I42" i="2"/>
  <c r="I46" i="2"/>
  <c r="O49" i="2"/>
  <c r="L49" i="2"/>
  <c r="J49" i="2"/>
  <c r="C49" i="2"/>
  <c r="O50" i="2"/>
  <c r="L50" i="2"/>
  <c r="O43" i="2"/>
  <c r="O40" i="2"/>
  <c r="E43" i="2"/>
  <c r="J46" i="2"/>
  <c r="E50" i="2"/>
  <c r="C50" i="2"/>
  <c r="E37" i="2"/>
  <c r="O37" i="2"/>
  <c r="C37" i="2"/>
  <c r="E36" i="2"/>
  <c r="O36" i="2"/>
  <c r="C36" i="2"/>
  <c r="O35" i="2"/>
  <c r="E35" i="2"/>
  <c r="C35" i="2"/>
  <c r="O34" i="2"/>
  <c r="C33" i="2"/>
  <c r="O33" i="2"/>
  <c r="E33" i="2"/>
  <c r="C32" i="2"/>
  <c r="E32" i="2"/>
  <c r="O32" i="2"/>
  <c r="O31" i="2"/>
  <c r="E31" i="2"/>
  <c r="C31" i="2"/>
  <c r="C30" i="2"/>
  <c r="O30" i="2"/>
  <c r="E30" i="2"/>
  <c r="E29" i="2"/>
  <c r="C29" i="2"/>
  <c r="O29" i="2"/>
  <c r="E28" i="2"/>
  <c r="C28" i="2"/>
  <c r="O28" i="2"/>
  <c r="E27" i="2"/>
  <c r="C27" i="2"/>
  <c r="O27" i="2"/>
  <c r="O26" i="2"/>
  <c r="O23" i="2"/>
  <c r="O25" i="2"/>
  <c r="O24" i="2"/>
  <c r="O22" i="2"/>
  <c r="O21" i="2"/>
  <c r="E34" i="2"/>
  <c r="E26" i="2"/>
  <c r="C25" i="2"/>
  <c r="C24" i="2"/>
  <c r="C23" i="2"/>
  <c r="C22" i="2"/>
  <c r="C21" i="2"/>
  <c r="E24" i="2"/>
  <c r="E23" i="2"/>
  <c r="E25" i="2"/>
  <c r="E22" i="2"/>
  <c r="E21" i="2"/>
  <c r="H24" i="1"/>
  <c r="J31" i="1"/>
  <c r="J30" i="1"/>
  <c r="H31" i="1"/>
  <c r="H30" i="1"/>
  <c r="G31" i="1"/>
  <c r="G30" i="1"/>
  <c r="F31" i="1"/>
  <c r="F30" i="1"/>
  <c r="E31" i="1"/>
  <c r="E30" i="1"/>
  <c r="H6" i="1"/>
  <c r="G6" i="1"/>
  <c r="F6" i="1"/>
  <c r="E6" i="1"/>
  <c r="L34" i="2" a="1"/>
  <c r="L30" i="2" a="1"/>
  <c r="L32" i="2" a="1"/>
  <c r="L27" i="2" a="1"/>
  <c r="L31" i="2" a="1"/>
  <c r="L29" i="2" a="1"/>
  <c r="L35" i="2" a="1"/>
  <c r="L33" i="2" a="1"/>
  <c r="L37" i="2" a="1"/>
  <c r="L36" i="2" a="1"/>
  <c r="L28" i="2" a="1"/>
  <c r="L24" i="2" a="1"/>
  <c r="L25" i="2" a="1"/>
  <c r="L26" i="2" a="1"/>
  <c r="L23" i="2" a="1"/>
  <c r="L21" i="2" a="1"/>
  <c r="L22" i="2" a="1"/>
  <c r="G47" i="2" l="1" a="1"/>
  <c r="G47" i="2" s="1"/>
  <c r="H47" i="2" a="1"/>
  <c r="H47" i="2" s="1"/>
  <c r="H48" i="2" a="1"/>
  <c r="H48" i="2" s="1"/>
  <c r="G48" i="2" a="1"/>
  <c r="G48" i="2" s="1"/>
  <c r="H40" i="2" a="1"/>
  <c r="H40" i="2" s="1"/>
  <c r="G40" i="2" a="1"/>
  <c r="G40" i="2" s="1"/>
  <c r="H49" i="2" a="1"/>
  <c r="H49" i="2" s="1"/>
  <c r="G49" i="2" a="1"/>
  <c r="G49" i="2" s="1"/>
  <c r="L37" i="2"/>
  <c r="L36" i="2"/>
  <c r="L35" i="2"/>
  <c r="L33" i="2"/>
  <c r="L32" i="2"/>
  <c r="L31" i="2"/>
  <c r="L29" i="2"/>
  <c r="L28" i="2"/>
  <c r="L27" i="2"/>
  <c r="L34" i="2"/>
  <c r="L26" i="2"/>
  <c r="L30" i="2"/>
  <c r="L25" i="2"/>
  <c r="L24" i="2"/>
  <c r="L23" i="2"/>
  <c r="L22" i="2"/>
  <c r="L21" i="2"/>
  <c r="G46" i="2" a="1"/>
  <c r="H39" i="2" a="1"/>
  <c r="H50" i="2" a="1"/>
  <c r="H46" i="2" a="1"/>
  <c r="H45" i="2" a="1"/>
  <c r="G50" i="2" a="1"/>
  <c r="G45" i="2" a="1"/>
  <c r="M40" i="2" l="1"/>
  <c r="N40" i="2" s="1"/>
  <c r="M49" i="2"/>
  <c r="N49" i="2" s="1"/>
  <c r="M47" i="2"/>
  <c r="N47" i="2" s="1"/>
  <c r="M48" i="2"/>
  <c r="N48" i="2" s="1"/>
  <c r="G46" i="2"/>
  <c r="H39" i="2"/>
  <c r="G45" i="2"/>
  <c r="H45" i="2"/>
  <c r="H46" i="2"/>
  <c r="G50" i="2"/>
  <c r="H50" i="2"/>
  <c r="G3" i="1"/>
  <c r="G7" i="1"/>
  <c r="E3" i="1"/>
  <c r="E7" i="1"/>
  <c r="E23" i="1"/>
  <c r="F23" i="1"/>
  <c r="G23" i="1"/>
  <c r="H23" i="1"/>
  <c r="J23" i="1"/>
  <c r="G21" i="2" a="1"/>
  <c r="I29" i="2" a="1"/>
  <c r="J34" i="2" a="1"/>
  <c r="J31" i="2" a="1"/>
  <c r="H38" i="2" a="1"/>
  <c r="J35" i="2" a="1"/>
  <c r="I27" i="2" a="1"/>
  <c r="J27" i="2" a="1"/>
  <c r="J36" i="2" a="1"/>
  <c r="I31" i="2" a="1"/>
  <c r="J28" i="2" a="1"/>
  <c r="I32" i="2" a="1"/>
  <c r="J33" i="2" a="1"/>
  <c r="I35" i="2" a="1"/>
  <c r="J37" i="2" a="1"/>
  <c r="J32" i="2" a="1"/>
  <c r="I30" i="2" a="1"/>
  <c r="I33" i="2" a="1"/>
  <c r="I34" i="2" a="1"/>
  <c r="I28" i="2" a="1"/>
  <c r="J29" i="2" a="1"/>
  <c r="G38" i="2" a="1"/>
  <c r="J30" i="2" a="1"/>
  <c r="I36" i="2" a="1"/>
  <c r="I37" i="2" a="1"/>
  <c r="I26" i="2" a="1"/>
  <c r="I25" i="2" a="1"/>
  <c r="J26" i="2" a="1"/>
  <c r="I23" i="2" a="1"/>
  <c r="I24" i="2" a="1"/>
  <c r="J25" i="2" a="1"/>
  <c r="J24" i="2" a="1"/>
  <c r="J23" i="2" a="1"/>
  <c r="J22" i="2" a="1"/>
  <c r="G22" i="2" a="1"/>
  <c r="J21" i="2" a="1"/>
  <c r="I22" i="2" a="1"/>
  <c r="I21" i="2" a="1"/>
  <c r="M50" i="2" l="1"/>
  <c r="N50" i="2" s="1"/>
  <c r="M45" i="2"/>
  <c r="N45" i="2" s="1"/>
  <c r="M46" i="2"/>
  <c r="N46" i="2" s="1"/>
  <c r="G21" i="2"/>
  <c r="G38" i="2"/>
  <c r="G22" i="2"/>
  <c r="H38" i="2"/>
  <c r="I37" i="2"/>
  <c r="J37" i="2"/>
  <c r="I36" i="2"/>
  <c r="J36" i="2"/>
  <c r="I35" i="2"/>
  <c r="J35" i="2"/>
  <c r="J33" i="2"/>
  <c r="I33" i="2"/>
  <c r="J32" i="2"/>
  <c r="I32" i="2"/>
  <c r="J31" i="2"/>
  <c r="I31" i="2"/>
  <c r="I29" i="2"/>
  <c r="J29" i="2"/>
  <c r="J28" i="2"/>
  <c r="I28" i="2"/>
  <c r="I27" i="2"/>
  <c r="J27" i="2"/>
  <c r="J34" i="2"/>
  <c r="I34" i="2"/>
  <c r="J26" i="2"/>
  <c r="I26" i="2"/>
  <c r="J30" i="2"/>
  <c r="I30" i="2"/>
  <c r="J25" i="2"/>
  <c r="I25" i="2"/>
  <c r="I24" i="2"/>
  <c r="J24" i="2"/>
  <c r="J23" i="2"/>
  <c r="J22" i="2"/>
  <c r="J21" i="2"/>
  <c r="I23" i="2"/>
  <c r="I22" i="2"/>
  <c r="I21" i="2"/>
  <c r="J7" i="1"/>
  <c r="J8" i="1"/>
  <c r="J9" i="1"/>
  <c r="J10" i="1"/>
  <c r="J11" i="1"/>
  <c r="J12" i="1"/>
  <c r="J13" i="1"/>
  <c r="J14" i="1"/>
  <c r="J15" i="1"/>
  <c r="J16" i="1"/>
  <c r="J17" i="1"/>
  <c r="J18" i="1"/>
  <c r="J19" i="1"/>
  <c r="J20" i="1"/>
  <c r="J21" i="1"/>
  <c r="J22" i="1"/>
  <c r="J26" i="1"/>
  <c r="J27" i="1"/>
  <c r="J28" i="1"/>
  <c r="J29" i="1"/>
  <c r="H7" i="1"/>
  <c r="H8" i="1"/>
  <c r="H9" i="1"/>
  <c r="H10" i="1"/>
  <c r="H11" i="1"/>
  <c r="H12" i="1"/>
  <c r="H13" i="1"/>
  <c r="H14" i="1"/>
  <c r="H15" i="1"/>
  <c r="H16" i="1"/>
  <c r="H17" i="1"/>
  <c r="H18" i="1"/>
  <c r="H19" i="1"/>
  <c r="H20" i="1"/>
  <c r="H21" i="1"/>
  <c r="H22" i="1"/>
  <c r="H26" i="1"/>
  <c r="H27" i="1"/>
  <c r="H28" i="1"/>
  <c r="H29" i="1"/>
  <c r="H3" i="1"/>
  <c r="F7" i="1"/>
  <c r="F8" i="1"/>
  <c r="F9" i="1"/>
  <c r="F10" i="1"/>
  <c r="F11" i="1"/>
  <c r="F12" i="1"/>
  <c r="F13" i="1"/>
  <c r="F14" i="1"/>
  <c r="F15" i="1"/>
  <c r="F16" i="1"/>
  <c r="F17" i="1"/>
  <c r="F18" i="1"/>
  <c r="F19" i="1"/>
  <c r="F20" i="1"/>
  <c r="F21" i="1"/>
  <c r="F22" i="1"/>
  <c r="F26" i="1"/>
  <c r="F27" i="1"/>
  <c r="F28" i="1"/>
  <c r="F29" i="1"/>
  <c r="F3" i="1"/>
  <c r="G8" i="1"/>
  <c r="G9" i="1"/>
  <c r="G10" i="1"/>
  <c r="G11" i="1"/>
  <c r="G12" i="1"/>
  <c r="G13" i="1"/>
  <c r="G14" i="1"/>
  <c r="G15" i="1"/>
  <c r="G16" i="1"/>
  <c r="G17" i="1"/>
  <c r="G18" i="1"/>
  <c r="G19" i="1"/>
  <c r="G20" i="1"/>
  <c r="G21" i="1"/>
  <c r="G22" i="1"/>
  <c r="G24" i="1"/>
  <c r="G26" i="1"/>
  <c r="G27" i="1"/>
  <c r="G28" i="1"/>
  <c r="G29" i="1"/>
  <c r="E8" i="1"/>
  <c r="E9" i="1"/>
  <c r="E10" i="1"/>
  <c r="E11" i="1"/>
  <c r="E12" i="1"/>
  <c r="E13" i="1"/>
  <c r="E14" i="1"/>
  <c r="E15" i="1"/>
  <c r="E16" i="1"/>
  <c r="E17" i="1"/>
  <c r="E18" i="1"/>
  <c r="E19" i="1"/>
  <c r="E20" i="1"/>
  <c r="E21" i="1"/>
  <c r="E22" i="1"/>
  <c r="E24" i="1"/>
  <c r="E26" i="1"/>
  <c r="E27" i="1"/>
  <c r="E28" i="1"/>
  <c r="E29" i="1"/>
  <c r="H21" i="2" a="1"/>
  <c r="H33" i="2" a="1"/>
  <c r="G33" i="2" a="1"/>
  <c r="G35" i="2" a="1"/>
  <c r="G34" i="2" a="1"/>
  <c r="H29" i="2" a="1"/>
  <c r="G39" i="2" a="1"/>
  <c r="H44" i="2" a="1"/>
  <c r="H36" i="2" a="1"/>
  <c r="H27" i="2" a="1"/>
  <c r="G36" i="2" a="1"/>
  <c r="H28" i="2" a="1"/>
  <c r="H35" i="2" a="1"/>
  <c r="H31" i="2" a="1"/>
  <c r="H30" i="2" a="1"/>
  <c r="H32" i="2" a="1"/>
  <c r="G28" i="2" a="1"/>
  <c r="H34" i="2" a="1"/>
  <c r="G42" i="2" a="1"/>
  <c r="H37" i="2" a="1"/>
  <c r="G37" i="2" a="1"/>
  <c r="G29" i="2" a="1"/>
  <c r="G31" i="2" a="1"/>
  <c r="G44" i="2" a="1"/>
  <c r="H41" i="2" a="1"/>
  <c r="H43" i="2" a="1"/>
  <c r="H42" i="2" a="1"/>
  <c r="G43" i="2" a="1"/>
  <c r="G30" i="2" a="1"/>
  <c r="G27" i="2" a="1"/>
  <c r="G32" i="2" a="1"/>
  <c r="G41" i="2" a="1"/>
  <c r="G24" i="2" a="1"/>
  <c r="H24" i="2" a="1"/>
  <c r="G23" i="2" a="1"/>
  <c r="G26" i="2" a="1"/>
  <c r="H23" i="2" a="1"/>
  <c r="H25" i="2" a="1"/>
  <c r="H26" i="2" a="1"/>
  <c r="G25" i="2" a="1"/>
  <c r="H22" i="2" a="1"/>
  <c r="M38" i="2" l="1"/>
  <c r="N38" i="2" s="1"/>
  <c r="G39" i="2"/>
  <c r="H31" i="2"/>
  <c r="G37" i="2"/>
  <c r="G36" i="2"/>
  <c r="G34" i="2"/>
  <c r="G33" i="2"/>
  <c r="H26" i="2"/>
  <c r="H25" i="2"/>
  <c r="G31" i="2"/>
  <c r="H24" i="2"/>
  <c r="G28" i="2"/>
  <c r="G27" i="2"/>
  <c r="G26" i="2"/>
  <c r="G25" i="2"/>
  <c r="H21" i="2"/>
  <c r="M21" i="2" s="1"/>
  <c r="N21" i="2" s="1"/>
  <c r="H33" i="2"/>
  <c r="G43" i="2"/>
  <c r="H34" i="2"/>
  <c r="G42" i="2"/>
  <c r="G41" i="2"/>
  <c r="H32" i="2"/>
  <c r="H30" i="2"/>
  <c r="H29" i="2"/>
  <c r="G35" i="2"/>
  <c r="H28" i="2"/>
  <c r="H27" i="2"/>
  <c r="G32" i="2"/>
  <c r="G30" i="2"/>
  <c r="H23" i="2"/>
  <c r="G29" i="2"/>
  <c r="H22" i="2"/>
  <c r="M22" i="2" s="1"/>
  <c r="N22" i="2" s="1"/>
  <c r="G24" i="2"/>
  <c r="H44" i="2"/>
  <c r="G23" i="2"/>
  <c r="H43" i="2"/>
  <c r="H42" i="2"/>
  <c r="H41" i="2"/>
  <c r="H37" i="2"/>
  <c r="H36" i="2"/>
  <c r="G44" i="2"/>
  <c r="H35" i="2"/>
  <c r="M23" i="2" l="1"/>
  <c r="N23" i="2" s="1"/>
  <c r="M43" i="2"/>
  <c r="N43" i="2" s="1"/>
  <c r="M44" i="2"/>
  <c r="N44" i="2" s="1"/>
  <c r="M25" i="2"/>
  <c r="N25" i="2" s="1"/>
  <c r="M26" i="2"/>
  <c r="N26" i="2" s="1"/>
  <c r="M27" i="2"/>
  <c r="N27" i="2" s="1"/>
  <c r="M31" i="2"/>
  <c r="N31" i="2" s="1"/>
  <c r="M28" i="2"/>
  <c r="N28" i="2" s="1"/>
  <c r="M29" i="2"/>
  <c r="N29" i="2" s="1"/>
  <c r="M41" i="2"/>
  <c r="N41" i="2" s="1"/>
  <c r="M42" i="2"/>
  <c r="N42" i="2" s="1"/>
  <c r="M24" i="2"/>
  <c r="N24" i="2" s="1"/>
  <c r="M33" i="2"/>
  <c r="N33" i="2" s="1"/>
  <c r="M34" i="2"/>
  <c r="N34" i="2" s="1"/>
  <c r="M30" i="2"/>
  <c r="N30" i="2" s="1"/>
  <c r="M36" i="2"/>
  <c r="N36" i="2" s="1"/>
  <c r="M32" i="2"/>
  <c r="N32" i="2" s="1"/>
  <c r="M37" i="2"/>
  <c r="N37" i="2" s="1"/>
  <c r="M39" i="2"/>
  <c r="N39" i="2" s="1"/>
  <c r="M35" i="2"/>
  <c r="N35" i="2" s="1"/>
  <c r="M51" i="2" l="1"/>
  <c r="N5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<sst xmlns="http://schemas.openxmlformats.org/spreadsheetml/2006/main" count="165" uniqueCount="114">
  <si>
    <r>
      <t xml:space="preserve">Deze tool in ontwikkeld om </t>
    </r>
    <r>
      <rPr>
        <u/>
        <sz val="16"/>
        <color rgb="FFFF0000"/>
        <rFont val="Calibri"/>
        <family val="2"/>
      </rPr>
      <t>een indicatie</t>
    </r>
    <r>
      <rPr>
        <sz val="16"/>
        <color rgb="FFFF0000"/>
        <rFont val="Calibri"/>
        <family val="2"/>
      </rPr>
      <t xml:space="preserve"> te geven van het benodigde vermogen van verschillende typen gebouwen. 
Lees voor gebruik de bijbehorende toelichting om op de hoogte te zijn van de uitgangspunten en eventuele beperkingen van deze tool.
De tool is ontwikkeld door Arcadis voor gemeente Rotterdam en wordt via de VNG gedeeld met andere gemeenten. In kolom N zijn daarom de aansluitwaarden bij netbeheerder Stedin gehanteerd. Bij andere netbeheerders is sprake van andere aansluitcategorieën. Zie hiervoor de website van deze netbeheerders.</t>
    </r>
  </si>
  <si>
    <t>Gebruiksaanwijzing Rekensheet</t>
  </si>
  <si>
    <t>Kleurcoderingen</t>
  </si>
  <si>
    <t>Selecteer het gewenste gebouwtype in de kolom "Gebouw typen" via het dropdown menu.</t>
  </si>
  <si>
    <t>Input</t>
  </si>
  <si>
    <t>Vul het bruto vloeroppervlak (BVO) in m² of het aantal eenheden in de kolom "BVO [m2] / aantal".</t>
  </si>
  <si>
    <t>Informatie</t>
  </si>
  <si>
    <t>Kies het type warmte-koude opwekconcept</t>
  </si>
  <si>
    <t>Berekening</t>
  </si>
  <si>
    <t>Gebruik de kolom "gelijktijdigheidsfactor / veiligheidsmarge" om handmatig correcties op het totaalvermogen toe te passen. (indien niets wordt ingevuld wordt met factor 1 gerekend)</t>
  </si>
  <si>
    <t>Output</t>
  </si>
  <si>
    <t>De kolommen "Warmtepompen", "Koeling", "Verlichting", "Ventilatie", "Gebruikersvoorzieningen" en "Laadinfra" worden automatisch berekend.</t>
  </si>
  <si>
    <t>Hierin zie je per categorie het berekende vermogen (in KiloWatt) op basis van het ingevulde BVO / aantallen.</t>
  </si>
  <si>
    <t>In de kolom "totaal vermogen" wordt automatisch het totaal van alle vermogens voor het betreffende gebouw weergegeven.</t>
  </si>
  <si>
    <t>In kolom "Aansluitcategorie" wordt het type aansluiting voor het berekende vermogen weergegeeven</t>
  </si>
  <si>
    <t>Je kunt meerdere gebouwen / fucnties onder elkaar invullen. De resultaten worden per gebouw apart berekend.</t>
  </si>
  <si>
    <t>Onderstaande memo geeft meer inzicht in de wijze waarop de berekeningen in deze sheet tot stand komen.</t>
  </si>
  <si>
    <t xml:space="preserve">Gebouw typen </t>
  </si>
  <si>
    <t>BVO [m²] /
aantal</t>
  </si>
  <si>
    <t>Reken
eenheid</t>
  </si>
  <si>
    <t>type warmte-koeling concept</t>
  </si>
  <si>
    <t>verwarmd</t>
  </si>
  <si>
    <t>gelijktijdigheidsfactor / veiligheidsmarge [-]</t>
  </si>
  <si>
    <t>Warmtepompen
[kW]</t>
  </si>
  <si>
    <t>Koeling
[kW]</t>
  </si>
  <si>
    <t>Verlichting
[kW]</t>
  </si>
  <si>
    <t>Ventilatie
[kW]</t>
  </si>
  <si>
    <t>gebruikersvoorzieningen
[kW]</t>
  </si>
  <si>
    <t>Laadinfra
[kW]</t>
  </si>
  <si>
    <t>totaal vermogen [kW]</t>
  </si>
  <si>
    <t>Aansluitcategorie per object</t>
  </si>
  <si>
    <t>Opmerkingen</t>
  </si>
  <si>
    <t>Appartement in woongebouw</t>
  </si>
  <si>
    <t>luchtwarmtepomp</t>
  </si>
  <si>
    <t>Collectieve voorzieningen woongebouw</t>
  </si>
  <si>
    <t>Indicatie totaal</t>
  </si>
  <si>
    <t>Indicatief totaalvermogen, geen rekening gehouden met andere gebruikprofielen, aansluitcaterorie indien de functies op één aansluiting worden gecombineerd</t>
  </si>
  <si>
    <t>vermogens per rekeneenheid</t>
  </si>
  <si>
    <t>Type gebouw</t>
  </si>
  <si>
    <t>rekeneenheid</t>
  </si>
  <si>
    <t>Opmerking</t>
  </si>
  <si>
    <t>Verwarmd</t>
  </si>
  <si>
    <t>bodemwarmtepomp warmte</t>
  </si>
  <si>
    <t>bodemwarmtepomp koeling</t>
  </si>
  <si>
    <t>luchtwarmtepomp warmte</t>
  </si>
  <si>
    <t>luchtwarmtepomp koeling</t>
  </si>
  <si>
    <t>stadswarmte/gasketel warmte</t>
  </si>
  <si>
    <t>Stadswarmte/gasketel koeling</t>
  </si>
  <si>
    <t>Verlichting</t>
  </si>
  <si>
    <t>Ventilatie</t>
  </si>
  <si>
    <t>gebruikersvoorzieningen</t>
  </si>
  <si>
    <t>Laadinfra</t>
  </si>
  <si>
    <t>m²</t>
  </si>
  <si>
    <t>Totale oppervlakte woongebouw invoeren! Geldig tot 70m (geen sprinkler, speciale hoge capaciteitsliften)</t>
  </si>
  <si>
    <t>n</t>
  </si>
  <si>
    <t>klimaatinstallatie valt onder "algemene voorzieningen</t>
  </si>
  <si>
    <t>Parkeergarage onder woongebouw</t>
  </si>
  <si>
    <t>Verlichting, ventilatie, sprinkler va. 1.000m²</t>
  </si>
  <si>
    <t>Grondgebonden woning (ca. 100m²)</t>
  </si>
  <si>
    <t>geen koeling indien geen warmtepomp</t>
  </si>
  <si>
    <t>Snackbar</t>
  </si>
  <si>
    <t>All-electric keuken</t>
  </si>
  <si>
    <t>Fastfood keten</t>
  </si>
  <si>
    <t>Restaurant</t>
  </si>
  <si>
    <t>Broodjeszaak</t>
  </si>
  <si>
    <t>Supermarkt</t>
  </si>
  <si>
    <t xml:space="preserve"> </t>
  </si>
  <si>
    <t>Supermarkt "to-go"</t>
  </si>
  <si>
    <t>Winkels detailhandel</t>
  </si>
  <si>
    <t>Logiesgebouw</t>
  </si>
  <si>
    <t>indien vergelijkbaar met wonen, geen rekening gehouden met inpandig zwembad o.i.d.</t>
  </si>
  <si>
    <t>Zorg zonder bed</t>
  </si>
  <si>
    <t xml:space="preserve">huisarts, fysiotherapeut, oog/haar/huid kliniek, tandarts, </t>
  </si>
  <si>
    <t>Zorg met bed</t>
  </si>
  <si>
    <t>Onderwijs PO</t>
  </si>
  <si>
    <t>Onderwijs VO</t>
  </si>
  <si>
    <t>Onderwijs MBO / HBO met praktijklokalen</t>
  </si>
  <si>
    <t xml:space="preserve">  </t>
  </si>
  <si>
    <t>Onderwijs WO met laboratoria</t>
  </si>
  <si>
    <t xml:space="preserve">Zwembad </t>
  </si>
  <si>
    <t>geen goede referentiewaarden in de database, conservatieve inschatting</t>
  </si>
  <si>
    <t>Fitness</t>
  </si>
  <si>
    <t>Zonnestudio</t>
  </si>
  <si>
    <t>Kantine sportvereniging</t>
  </si>
  <si>
    <t>Sportveld</t>
  </si>
  <si>
    <t xml:space="preserve">Veldverlichting </t>
  </si>
  <si>
    <t>Kantoor</t>
  </si>
  <si>
    <t>Buurthuis</t>
  </si>
  <si>
    <t>Bioscoop / theater</t>
  </si>
  <si>
    <t>Bibliotheek</t>
  </si>
  <si>
    <t>licht bedrijvigheid</t>
  </si>
  <si>
    <t>bedrijfshallen, matig verwarmd</t>
  </si>
  <si>
    <t>logistiek, matig verwarmd exclusief laadinfra</t>
  </si>
  <si>
    <t>eventuele bedrijfscritische laadinfra seperaat invoeren</t>
  </si>
  <si>
    <t>logistiek, niet verwarmd</t>
  </si>
  <si>
    <t>Laadpaal EV (11kW)</t>
  </si>
  <si>
    <t>Alleen invoeren indien loadbalancing niet acceptabel is</t>
  </si>
  <si>
    <t>Laadpaal EV (22kW)</t>
  </si>
  <si>
    <t>Algemeen gehanteerde cos φ</t>
  </si>
  <si>
    <t>https://www.stedin.net/zakelijk/betalingen-en-facturen/tarieven</t>
  </si>
  <si>
    <t>Vermogen [kVA]</t>
  </si>
  <si>
    <t>Aansluiting</t>
  </si>
  <si>
    <t>3x25A</t>
  </si>
  <si>
    <t>3x35A</t>
  </si>
  <si>
    <t>3x50A</t>
  </si>
  <si>
    <t>3x63A</t>
  </si>
  <si>
    <t>3x80A</t>
  </si>
  <si>
    <t>3x125A</t>
  </si>
  <si>
    <t>t/m 175 kVA</t>
  </si>
  <si>
    <t>t/m 630 kVA</t>
  </si>
  <si>
    <t>t/m 1.000 kVA</t>
  </si>
  <si>
    <t>t/m 1.750 kVA</t>
  </si>
  <si>
    <t>t/m 5.000 kVA</t>
  </si>
  <si>
    <t>t/m 10.000 kVA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</si>
</sst>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Calibri"/>
    </font>
    <font>
      <sz val="11"/>
      <color rgb="FF000000"/>
      <name val="Calibri"/>
      <family val="2"/>
    </font>
    <font>
      <b/>
      <sz val="11"/>
      <color rgb="FF000000"/>
      <name val="Calibri"/>
      <family val="2"/>
    </font>
    <font>
      <sz val="8"/>
      <name val="Calibri"/>
      <family val="2"/>
    </font>
    <font>
      <sz val="11"/>
      <color rgb="FF000000"/>
      <name val="Calibri"/>
      <family val="2"/>
    </font>
    <font>
      <sz val="11"/>
      <color rgb="FF3F3F76"/>
      <name val="Aptos Narrow"/>
      <family val="2"/>
      <scheme val="minor"/>
    </font>
    <font>
      <b/>
      <sz val="11"/>
      <color rgb="FF3F3F3F"/>
      <name val="Aptos Narrow"/>
      <family val="2"/>
      <scheme val="minor"/>
    </font>
    <font>
      <b/>
      <sz val="11"/>
      <color rgb="FFFA7D00"/>
      <name val="Aptos Narrow"/>
      <family val="2"/>
      <scheme val="minor"/>
    </font>
    <font>
      <u/>
      <sz val="11"/>
      <color theme="10"/>
      <name val="Calibri"/>
      <family val="2"/>
    </font>
    <font>
      <sz val="11"/>
      <color rgb="FF9C0006"/>
      <name val="Aptos Narrow"/>
      <family val="2"/>
      <scheme val="minor"/>
    </font>
    <font>
      <u/>
      <sz val="11"/>
      <color rgb="FF000000"/>
      <name val="Calibri"/>
      <family val="2"/>
    </font>
    <font>
      <sz val="16"/>
      <color rgb="FFFF0000"/>
      <name val="Calibri"/>
      <family val="2"/>
    </font>
    <font>
      <u/>
      <sz val="16"/>
      <color rgb="FFFF0000"/>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6">
    <xf numFmtId="0" fontId="0" fillId="0" borderId="0"/>
    <xf numFmtId="0" fontId="5" fillId="2" borderId="5" applyNumberFormat="0" applyAlignment="0" applyProtection="0"/>
    <xf numFmtId="0" fontId="6" fillId="3" borderId="6" applyNumberFormat="0" applyAlignment="0" applyProtection="0"/>
    <xf numFmtId="0" fontId="7" fillId="3" borderId="5" applyNumberFormat="0" applyAlignment="0" applyProtection="0"/>
    <xf numFmtId="0" fontId="4" fillId="4" borderId="7" applyNumberFormat="0" applyFont="0" applyAlignment="0" applyProtection="0"/>
    <xf numFmtId="0" fontId="8" fillId="0" borderId="0" applyNumberFormat="0" applyFill="0" applyBorder="0" applyAlignment="0" applyProtection="0"/>
  </cellStyleXfs>
  <cellXfs count="31">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3" fontId="0" fillId="0" borderId="1" xfId="0" applyNumberFormat="1" applyBorder="1"/>
    <xf numFmtId="3" fontId="0" fillId="0" borderId="0" xfId="0" applyNumberFormat="1"/>
    <xf numFmtId="0" fontId="2" fillId="0" borderId="3" xfId="0" applyFont="1" applyBorder="1"/>
    <xf numFmtId="0" fontId="2" fillId="0" borderId="4" xfId="0" applyFont="1" applyBorder="1"/>
    <xf numFmtId="0" fontId="2" fillId="0" borderId="4" xfId="0" applyFont="1" applyBorder="1" applyAlignment="1">
      <alignment wrapText="1"/>
    </xf>
    <xf numFmtId="0" fontId="2" fillId="0" borderId="2" xfId="0" applyFont="1" applyBorder="1" applyAlignment="1">
      <alignment wrapText="1"/>
    </xf>
    <xf numFmtId="1" fontId="0" fillId="0" borderId="0" xfId="0" applyNumberFormat="1"/>
    <xf numFmtId="0" fontId="5" fillId="2" borderId="5" xfId="1" applyProtection="1">
      <protection locked="0"/>
    </xf>
    <xf numFmtId="3" fontId="5" fillId="2" borderId="5" xfId="1" applyNumberFormat="1" applyProtection="1">
      <protection locked="0"/>
    </xf>
    <xf numFmtId="3" fontId="0" fillId="4" borderId="7" xfId="4" applyNumberFormat="1" applyFont="1"/>
    <xf numFmtId="3" fontId="6" fillId="3" borderId="6" xfId="2" applyNumberFormat="1"/>
    <xf numFmtId="0" fontId="0" fillId="4" borderId="7" xfId="4" applyFont="1"/>
    <xf numFmtId="3" fontId="7" fillId="3" borderId="5" xfId="3" applyNumberFormat="1"/>
    <xf numFmtId="0" fontId="8" fillId="0" borderId="0" xfId="5"/>
    <xf numFmtId="4" fontId="0" fillId="0" borderId="0" xfId="0" applyNumberFormat="1"/>
    <xf numFmtId="4" fontId="1" fillId="0" borderId="0" xfId="0" applyNumberFormat="1" applyFont="1"/>
    <xf numFmtId="0" fontId="1" fillId="4" borderId="7" xfId="4" applyFont="1"/>
    <xf numFmtId="0" fontId="9" fillId="4" borderId="7" xfId="4" applyFont="1"/>
    <xf numFmtId="0" fontId="10" fillId="0" borderId="0" xfId="0" applyFont="1"/>
    <xf numFmtId="0" fontId="5" fillId="2" borderId="5" xfId="1"/>
    <xf numFmtId="0" fontId="7" fillId="3" borderId="5" xfId="3"/>
    <xf numFmtId="0" fontId="6" fillId="3" borderId="6" xfId="2"/>
    <xf numFmtId="4" fontId="5" fillId="2" borderId="5" xfId="1" applyNumberFormat="1" applyProtection="1">
      <protection locked="0"/>
    </xf>
    <xf numFmtId="3" fontId="6" fillId="4" borderId="7" xfId="4" applyNumberFormat="1" applyFont="1"/>
    <xf numFmtId="0" fontId="1" fillId="4" borderId="7" xfId="4" applyFont="1" applyAlignment="1">
      <alignment wrapText="1"/>
    </xf>
    <xf numFmtId="0" fontId="11" fillId="0" borderId="0" xfId="0" applyFont="1" applyAlignment="1">
      <alignment horizontal="center" vertical="center" wrapText="1"/>
    </xf>
    <xf numFmtId="0" fontId="1" fillId="0" borderId="0" xfId="0" applyFont="1" applyAlignment="1">
      <alignment horizontal="center" vertical="center"/>
    </xf>
  </cellXfs>
  <cellStyles count="6">
    <cellStyle name="Berekening" xfId="3" builtinId="22"/>
    <cellStyle name="Hyperlink" xfId="5" builtinId="8"/>
    <cellStyle name="Invoer" xfId="1" builtinId="20"/>
    <cellStyle name="Notitie" xfId="4" builtinId="10"/>
    <cellStyle name="Standaard" xfId="0" builtinId="0"/>
    <cellStyle name="Uitvoer" xfId="2" builtinId="21"/>
  </cellStyles>
  <dxfs count="13">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font>
        <b val="0"/>
        <i val="0"/>
        <strike val="0"/>
        <condense val="0"/>
        <extend val="0"/>
        <outline val="0"/>
        <shadow val="0"/>
        <u val="none"/>
        <vertAlign val="baseline"/>
        <sz val="11"/>
        <color rgb="FF000000"/>
        <name val="Calibri"/>
        <family val="2"/>
        <scheme val="none"/>
      </font>
    </dxf>
    <dxf>
      <border outline="0">
        <right style="thin">
          <color rgb="FF000000"/>
        </right>
      </border>
    </dxf>
    <dxf>
      <fill>
        <gradientFill type="path" left="0.5" right="0.5" top="0.5" bottom="0.5">
          <stop position="0">
            <color theme="0"/>
          </stop>
          <stop position="1">
            <color theme="5"/>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5</xdr:col>
          <xdr:colOff>838200</xdr:colOff>
          <xdr:row>17</xdr:row>
          <xdr:rowOff>518160</xdr:rowOff>
        </xdr:to>
        <xdr:sp macro="" textlink="">
          <xdr:nvSpPr>
            <xdr:cNvPr id="3081" name="Object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5</xdr:col>
      <xdr:colOff>9525</xdr:colOff>
      <xdr:row>2</xdr:row>
      <xdr:rowOff>114300</xdr:rowOff>
    </xdr:from>
    <xdr:to>
      <xdr:col>13</xdr:col>
      <xdr:colOff>562733</xdr:colOff>
      <xdr:row>44</xdr:row>
      <xdr:rowOff>105890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857625" y="495300"/>
          <a:ext cx="5430008" cy="79925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FBF1C6-5E1F-49DC-A2B2-5CA80E0F084F}" name="Table1" displayName="Table1" ref="A2:N34" totalsRowShown="0" tableBorderDxfId="11">
  <autoFilter ref="A2:N34" xr:uid="{F6FBF1C6-5E1F-49DC-A2B2-5CA80E0F084F}"/>
  <tableColumns count="14">
    <tableColumn id="1" xr3:uid="{20180D32-5B27-4E7A-BA48-4D6EFBF6447B}" name="Type gebouw"/>
    <tableColumn id="14" xr3:uid="{7241ADE3-BAC3-4EBB-8CB3-651AEBDB4E48}" name="rekeneenheid" dataDxfId="10"/>
    <tableColumn id="2" xr3:uid="{96267710-35FE-4C89-BBF6-0B9BF6E8E8C3}" name="Opmerking"/>
    <tableColumn id="13" xr3:uid="{01D35535-85C7-40C3-9D0A-919122823B1B}" name="Verwarmd"/>
    <tableColumn id="3" xr3:uid="{CC87C663-D73C-4572-B6ED-8489A365AB38}" name="bodemwarmtepomp warmte" dataDxfId="9"/>
    <tableColumn id="4" xr3:uid="{0773919C-A0C3-4FDE-A224-03D9474BAD22}" name="bodemwarmtepomp koeling" dataDxfId="8"/>
    <tableColumn id="5" xr3:uid="{8D74C649-849B-4666-8FA8-FFECB3085167}" name="luchtwarmtepomp warmte" dataDxfId="7"/>
    <tableColumn id="6" xr3:uid="{4F4C5DDA-8755-411F-8FAE-59AA8982E9FC}" name="luchtwarmtepomp koeling" dataDxfId="6"/>
    <tableColumn id="7" xr3:uid="{850B89B2-FEFB-4199-AFC8-38C74CDF9935}" name="stadswarmte/gasketel warmte" dataDxfId="5"/>
    <tableColumn id="8" xr3:uid="{D8217BCC-92E9-4E14-A945-D6B0CCC57F50}" name="Stadswarmte/gasketel koeling" dataDxfId="4"/>
    <tableColumn id="9" xr3:uid="{3CF61C96-10A7-4F40-B8B9-C07203465951}" name="Verlichting" dataDxfId="3"/>
    <tableColumn id="10" xr3:uid="{470E51A0-C51D-4F88-AE0F-B751FCE3F0C5}" name="Ventilatie" dataDxfId="2"/>
    <tableColumn id="11" xr3:uid="{21A0A282-4D1F-4979-A8A5-56CCC112B23A}" name="gebruikersvoorzieningen" dataDxfId="1"/>
    <tableColumn id="12" xr3:uid="{743780A5-2A87-4FDA-BD8A-1D3FED48581F}" name="Laadinfra"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tedin.net/zakelijk/betalingen-en-facturen/tariev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7B72-6F68-4134-BF99-19434465930B}">
  <sheetPr codeName="Sheet1"/>
  <dimension ref="A2:O51"/>
  <sheetViews>
    <sheetView tabSelected="1" topLeftCell="A13" zoomScale="70" zoomScaleNormal="70" workbookViewId="0">
      <selection activeCell="A8" sqref="A8"/>
    </sheetView>
  </sheetViews>
  <sheetFormatPr defaultRowHeight="14.45"/>
  <cols>
    <col min="1" max="1" width="40.85546875" bestFit="1" customWidth="1"/>
    <col min="2" max="2" width="15.5703125" customWidth="1"/>
    <col min="3" max="3" width="12.7109375" customWidth="1"/>
    <col min="4" max="4" width="27.5703125" bestFit="1" customWidth="1"/>
    <col min="5" max="5" width="27.5703125" hidden="1" customWidth="1"/>
    <col min="6" max="6" width="20.7109375" customWidth="1"/>
    <col min="7" max="7" width="16.28515625" customWidth="1"/>
    <col min="8" max="10" width="12.7109375" customWidth="1"/>
    <col min="11" max="11" width="24.5703125" customWidth="1"/>
    <col min="12" max="13" width="12.7109375" customWidth="1"/>
    <col min="14" max="14" width="16.28515625" customWidth="1"/>
    <col min="15" max="15" width="84.140625" bestFit="1" customWidth="1"/>
  </cols>
  <sheetData>
    <row r="2" spans="1:15" ht="21" customHeight="1">
      <c r="B2" s="29" t="s">
        <v>0</v>
      </c>
      <c r="C2" s="29"/>
      <c r="D2" s="29"/>
      <c r="E2" s="29"/>
      <c r="F2" s="29"/>
      <c r="G2" s="29"/>
      <c r="H2" s="29"/>
      <c r="I2" s="29"/>
      <c r="J2" s="29"/>
      <c r="K2" s="29"/>
      <c r="L2" s="29"/>
      <c r="M2" s="29"/>
      <c r="N2" s="29"/>
    </row>
    <row r="3" spans="1:15" ht="21" customHeight="1">
      <c r="B3" s="29"/>
      <c r="C3" s="29"/>
      <c r="D3" s="29"/>
      <c r="E3" s="29"/>
      <c r="F3" s="29"/>
      <c r="G3" s="29"/>
      <c r="H3" s="29"/>
      <c r="I3" s="29"/>
      <c r="J3" s="29"/>
      <c r="K3" s="29"/>
      <c r="L3" s="29"/>
      <c r="M3" s="29"/>
      <c r="N3" s="29"/>
    </row>
    <row r="4" spans="1:15" ht="21" customHeight="1">
      <c r="B4" s="29"/>
      <c r="C4" s="29"/>
      <c r="D4" s="29"/>
      <c r="E4" s="29"/>
      <c r="F4" s="29"/>
      <c r="G4" s="29"/>
      <c r="H4" s="29"/>
      <c r="I4" s="29"/>
      <c r="J4" s="29"/>
      <c r="K4" s="29"/>
      <c r="L4" s="29"/>
      <c r="M4" s="29"/>
      <c r="N4" s="29"/>
    </row>
    <row r="5" spans="1:15" ht="21" customHeight="1">
      <c r="B5" s="29"/>
      <c r="C5" s="29"/>
      <c r="D5" s="29"/>
      <c r="E5" s="29"/>
      <c r="F5" s="29"/>
      <c r="G5" s="29"/>
      <c r="H5" s="29"/>
      <c r="I5" s="29"/>
      <c r="J5" s="29"/>
      <c r="K5" s="29"/>
      <c r="L5" s="29"/>
      <c r="M5" s="29"/>
      <c r="N5" s="29"/>
    </row>
    <row r="7" spans="1:15">
      <c r="B7" s="22" t="s">
        <v>1</v>
      </c>
      <c r="N7" s="22" t="s">
        <v>2</v>
      </c>
    </row>
    <row r="8" spans="1:15">
      <c r="A8">
        <v>1</v>
      </c>
      <c r="B8" s="1" t="s">
        <v>3</v>
      </c>
      <c r="N8" s="23" t="s">
        <v>4</v>
      </c>
      <c r="O8" s="1"/>
    </row>
    <row r="9" spans="1:15">
      <c r="A9">
        <v>2</v>
      </c>
      <c r="B9" s="1" t="s">
        <v>5</v>
      </c>
      <c r="C9" s="1"/>
      <c r="D9" s="1"/>
      <c r="E9" s="1"/>
      <c r="F9" s="1"/>
      <c r="N9" s="20" t="s">
        <v>6</v>
      </c>
      <c r="O9" s="1"/>
    </row>
    <row r="10" spans="1:15">
      <c r="A10">
        <v>3</v>
      </c>
      <c r="B10" s="1" t="s">
        <v>7</v>
      </c>
      <c r="C10" s="1"/>
      <c r="D10" s="1"/>
      <c r="E10" s="1"/>
      <c r="F10" s="1"/>
      <c r="N10" s="24" t="s">
        <v>8</v>
      </c>
      <c r="O10" s="1"/>
    </row>
    <row r="11" spans="1:15">
      <c r="A11">
        <v>4</v>
      </c>
      <c r="B11" s="1" t="s">
        <v>9</v>
      </c>
      <c r="C11" s="1"/>
      <c r="D11" s="1"/>
      <c r="E11" s="1"/>
      <c r="F11" s="1"/>
      <c r="N11" s="25" t="s">
        <v>10</v>
      </c>
    </row>
    <row r="12" spans="1:15">
      <c r="A12">
        <v>5</v>
      </c>
      <c r="B12" s="1" t="s">
        <v>11</v>
      </c>
      <c r="D12" s="1"/>
      <c r="E12" s="1"/>
      <c r="F12" s="1"/>
    </row>
    <row r="13" spans="1:15">
      <c r="B13" t="s">
        <v>12</v>
      </c>
      <c r="C13" s="1"/>
    </row>
    <row r="14" spans="1:15">
      <c r="A14">
        <v>6</v>
      </c>
      <c r="B14" s="1" t="s">
        <v>13</v>
      </c>
      <c r="D14" s="1"/>
      <c r="E14" s="1"/>
      <c r="F14" s="1"/>
    </row>
    <row r="15" spans="1:15">
      <c r="A15">
        <v>7</v>
      </c>
      <c r="B15" s="1" t="s">
        <v>14</v>
      </c>
      <c r="C15" s="1"/>
      <c r="D15" s="1"/>
      <c r="E15" s="1"/>
      <c r="F15" s="1"/>
    </row>
    <row r="16" spans="1:15">
      <c r="A16">
        <v>8</v>
      </c>
      <c r="B16" s="1" t="s">
        <v>15</v>
      </c>
      <c r="C16" s="1"/>
      <c r="D16" s="1"/>
      <c r="E16" s="1"/>
      <c r="F16" s="1"/>
    </row>
    <row r="17" spans="1:15">
      <c r="A17">
        <v>9</v>
      </c>
      <c r="B17" s="1" t="s">
        <v>16</v>
      </c>
      <c r="C17" s="1"/>
      <c r="D17" s="1"/>
      <c r="E17" s="1"/>
      <c r="F17" s="1"/>
    </row>
    <row r="18" spans="1:15" ht="58.5" customHeight="1">
      <c r="C18" s="1"/>
      <c r="D18" s="1"/>
      <c r="E18" s="1"/>
      <c r="F18" s="1"/>
    </row>
    <row r="19" spans="1:15">
      <c r="A19" s="2"/>
      <c r="B19" s="3"/>
      <c r="C19" s="3"/>
      <c r="D19" s="3"/>
      <c r="E19" s="3"/>
      <c r="F19" s="3"/>
      <c r="G19" s="3"/>
      <c r="H19" s="3"/>
      <c r="I19" s="3"/>
      <c r="J19" s="3"/>
      <c r="K19" s="3"/>
      <c r="L19" s="3"/>
    </row>
    <row r="20" spans="1:15" ht="43.9" thickBot="1">
      <c r="A20" s="6" t="s">
        <v>17</v>
      </c>
      <c r="B20" s="8" t="s">
        <v>18</v>
      </c>
      <c r="C20" s="8" t="s">
        <v>19</v>
      </c>
      <c r="D20" s="7" t="s">
        <v>20</v>
      </c>
      <c r="E20" s="7" t="s">
        <v>21</v>
      </c>
      <c r="F20" s="8" t="s">
        <v>22</v>
      </c>
      <c r="G20" s="8" t="s">
        <v>23</v>
      </c>
      <c r="H20" s="8" t="s">
        <v>24</v>
      </c>
      <c r="I20" s="8" t="s">
        <v>25</v>
      </c>
      <c r="J20" s="8" t="s">
        <v>26</v>
      </c>
      <c r="K20" s="8" t="s">
        <v>27</v>
      </c>
      <c r="L20" s="8" t="s">
        <v>28</v>
      </c>
      <c r="M20" s="9" t="s">
        <v>29</v>
      </c>
      <c r="N20" s="9" t="s">
        <v>30</v>
      </c>
      <c r="O20" s="9" t="s">
        <v>31</v>
      </c>
    </row>
    <row r="21" spans="1:15" ht="15" thickTop="1">
      <c r="A21" s="11" t="s">
        <v>32</v>
      </c>
      <c r="B21" s="12">
        <v>100</v>
      </c>
      <c r="C21" s="13" t="str" cm="1">
        <f t="array" aca="1" ref="C21" ca="1">IF($A21="","",_xlfn.XLOOKUP($A21,INDIRECT("Table1[Type gebouw]"),Table1[rekeneenheid]))</f>
        <v>n</v>
      </c>
      <c r="D21" s="11" t="s">
        <v>33</v>
      </c>
      <c r="E21" s="5" cm="1">
        <f t="array" aca="1" ref="E21" ca="1">IF(A21="","",_xlfn.XLOOKUP($A21,INDIRECT("Table1[Type gebouw]"),Table1[Verwarmd]))</f>
        <v>0</v>
      </c>
      <c r="F21" s="26"/>
      <c r="G21" s="16" cm="1">
        <f t="array" aca="1" ref="G21" ca="1">IF($A21="","",IF($E21=0,0,_xlfn.XLOOKUP($A21, INDIRECT("Table1[Type gebouw]"), CHOOSE(MATCH($D21, {"bodemwarmtepomp";"luchtwarmtepomp";"stadswarmte/gasketel"}, 0),
Table1[bodemwarmtepomp warmte], Table1[luchtwarmtepomp warmte], Table1[stadswarmte/gasketel warmte], "" ), "")*$B21/1000))</f>
        <v>0</v>
      </c>
      <c r="H21" s="16" cm="1">
        <f t="array" aca="1" ref="H21" ca="1">IF($A21="","",IF($E21=0,0,_xlfn.XLOOKUP($A21, INDIRECT("Table1[Type gebouw]"), CHOOSE(MATCH($D21, {"bodemwarmtepomp";"luchtwarmtepomp";"stadswarmte/gasketel"}, 0),
Table1[bodemwarmtepomp koeling], Table1[luchtwarmtepomp koeling], Table1[Stadswarmte/gasketel koeling], "" ), "")*$B21/1000))</f>
        <v>0</v>
      </c>
      <c r="I21" s="16" cm="1">
        <f t="array" aca="1" ref="I21" ca="1">IF($A21="","",_xlfn.XLOOKUP($A21,INDIRECT("Table1[Type gebouw]"),Table1[Verlichting])*$B21/1000)</f>
        <v>10</v>
      </c>
      <c r="J21" s="16" cm="1">
        <f t="array" aca="1" ref="J21" ca="1">IF($A21="","",_xlfn.XLOOKUP($A21,INDIRECT("Table1[Type gebouw]"),Table1[Ventilatie])*$B21/1000)</f>
        <v>0</v>
      </c>
      <c r="K21" s="16" cm="1">
        <f t="array" aca="1" ref="K21" ca="1">IF($A21="","",IF(AND(A21="parkeergarage onder woongebouw",B21&gt;1000),100,_xlfn.XLOOKUP($A21,INDIRECT("Table1[Type gebouw]"),Table1[gebruikersvoorzieningen])*$B21/1000))</f>
        <v>150</v>
      </c>
      <c r="L21" s="16" cm="1">
        <f t="array" aca="1" ref="L21" ca="1">IF($A21="","",_xlfn.XLOOKUP($A21,INDIRECT("Table1[Type gebouw]"),Table1[Laadinfra])*$B21/1000)</f>
        <v>0</v>
      </c>
      <c r="M21" s="14">
        <f ca="1">IF($A21="","",IF(F21="",1,F21)*SUM(MAX(G21:H21),I21:L21))</f>
        <v>160</v>
      </c>
      <c r="N21" s="14" t="str">
        <f ca="1">IF($A21="","",_xlfn.XLOOKUP(M21/cos_phi,Aansluitcategorie!$A$4:$A$15,Aansluitcategorie!$B$4:$B$15,,1,1))</f>
        <v>t/m 630 kVA</v>
      </c>
      <c r="O21" s="15" t="str" cm="1">
        <f t="array" aca="1" ref="O21" ca="1">IF($A21="","",_xlfn.XLOOKUP($A21,INDIRECT("Table1[Type gebouw]"),Table1[Opmerking]))</f>
        <v>klimaatinstallatie valt onder "algemene voorzieningen</v>
      </c>
    </row>
    <row r="22" spans="1:15">
      <c r="A22" s="11" t="s">
        <v>34</v>
      </c>
      <c r="B22" s="12">
        <v>10000</v>
      </c>
      <c r="C22" s="13" t="str" cm="1">
        <f t="array" aca="1" ref="C22" ca="1">IF($A22="","",_xlfn.XLOOKUP($A22,INDIRECT("Table1[Type gebouw]"),Table1[rekeneenheid]))</f>
        <v>m²</v>
      </c>
      <c r="D22" s="11" t="s">
        <v>33</v>
      </c>
      <c r="E22" s="5" cm="1">
        <f t="array" aca="1" ref="E22" ca="1">IF(A22="","",_xlfn.XLOOKUP($A22,INDIRECT("Table1[Type gebouw]"),Table1[Verwarmd]))</f>
        <v>1</v>
      </c>
      <c r="F22" s="26"/>
      <c r="G22" s="16" cm="1">
        <f t="array" aca="1" ref="G22" ca="1">IF($A22="","",IF($E22=0,0,_xlfn.XLOOKUP($A22, INDIRECT("Table1[Type gebouw]"), CHOOSE(MATCH($D22, {"bodemwarmtepomp";"luchtwarmtepomp";"stadswarmte/gasketel"}, 0),
Table1[bodemwarmtepomp warmte], Table1[luchtwarmtepomp warmte], Table1[stadswarmte/gasketel warmte], "" ), "")*$B22/1000))</f>
        <v>166.66666666666669</v>
      </c>
      <c r="H22" s="16" cm="1">
        <f t="array" aca="1" ref="H22" ca="1">IF($A22="","",IF($E22=0,0,_xlfn.XLOOKUP($A22, INDIRECT("Table1[Type gebouw]"), CHOOSE(MATCH($D22, {"bodemwarmtepomp";"luchtwarmtepomp";"stadswarmte/gasketel"}, 0),
Table1[bodemwarmtepomp koeling], Table1[luchtwarmtepomp koeling], Table1[Stadswarmte/gasketel koeling], "" ), "")*$B22/1000))</f>
        <v>125</v>
      </c>
      <c r="I22" s="16" cm="1">
        <f t="array" aca="1" ref="I22" ca="1">IF($A22="","",_xlfn.XLOOKUP($A22,INDIRECT("Table1[Type gebouw]"),Table1[Verlichting])*$B22/1000)</f>
        <v>10</v>
      </c>
      <c r="J22" s="16" cm="1">
        <f t="array" aca="1" ref="J22" ca="1">IF($A22="","",_xlfn.XLOOKUP($A22,INDIRECT("Table1[Type gebouw]"),Table1[Ventilatie])*$B22/1000)</f>
        <v>20</v>
      </c>
      <c r="K22" s="16" cm="1">
        <f t="array" aca="1" ref="K22" ca="1">IF($A22="","",IF(AND(A22="parkeergarage onder woongebouw",B22&gt;1000),100,_xlfn.XLOOKUP($A22,INDIRECT("Table1[Type gebouw]"),Table1[gebruikersvoorzieningen])*$B22/1000))</f>
        <v>50</v>
      </c>
      <c r="L22" s="16" cm="1">
        <f t="array" aca="1" ref="L22" ca="1">IF($A22="","",_xlfn.XLOOKUP($A22,INDIRECT("Table1[Type gebouw]"),Table1[Laadinfra])*$B22/1000)</f>
        <v>0</v>
      </c>
      <c r="M22" s="14">
        <f t="shared" ref="M22:M50" ca="1" si="0">IF($A22="","",IF(F22="",1,F22)*SUM(MAX(G22:H22),I22:L22))</f>
        <v>246.66666666666669</v>
      </c>
      <c r="N22" s="14" t="str">
        <f ca="1">IF($A22="","",_xlfn.XLOOKUP(M22/cos_phi,Aansluitcategorie!$A$4:$A$15,Aansluitcategorie!$B$4:$B$15,,1,1))</f>
        <v>t/m 630 kVA</v>
      </c>
      <c r="O22" s="15" t="str" cm="1">
        <f t="array" aca="1" ref="O22" ca="1">IF($A22="","",_xlfn.XLOOKUP($A22,INDIRECT("Table1[Type gebouw]"),Table1[Opmerking]))</f>
        <v>Totale oppervlakte woongebouw invoeren! Geldig tot 70m (geen sprinkler, speciale hoge capaciteitsliften)</v>
      </c>
    </row>
    <row r="23" spans="1:15">
      <c r="A23" s="11"/>
      <c r="B23" s="12"/>
      <c r="C23" s="13" t="str" cm="1">
        <f t="array" aca="1" ref="C23" ca="1">IF($A23="","",_xlfn.XLOOKUP($A23,INDIRECT("Table1[Type gebouw]"),Table1[rekeneenheid]))</f>
        <v/>
      </c>
      <c r="D23" s="11"/>
      <c r="E23" s="5" t="str" cm="1">
        <f t="array" aca="1" ref="E23" ca="1">IF(A23="","",_xlfn.XLOOKUP($A23,INDIRECT("Table1[Type gebouw]"),Table1[Verwarmd]))</f>
        <v/>
      </c>
      <c r="F23" s="26"/>
      <c r="G23" s="16" t="str" cm="1">
        <f t="array" aca="1" ref="G23" ca="1">IF($A23="","",IF($E23=0,0,_xlfn.XLOOKUP($A23, INDIRECT("Table1[Type gebouw]"), CHOOSE(MATCH($D23, {"bodemwarmtepomp";"luchtwarmtepomp";"stadswarmte/gasketel"}, 0),
Table1[bodemwarmtepomp warmte], Table1[luchtwarmtepomp warmte], Table1[stadswarmte/gasketel warmte], "" ), "")*$B23/1000))</f>
        <v/>
      </c>
      <c r="H23" s="16" t="str" cm="1">
        <f t="array" aca="1" ref="H23" ca="1">IF($A23="","",IF($E23=0,0,_xlfn.XLOOKUP($A23, INDIRECT("Table1[Type gebouw]"), CHOOSE(MATCH($D23, {"bodemwarmtepomp";"luchtwarmtepomp";"stadswarmte/gasketel"}, 0),
Table1[bodemwarmtepomp koeling], Table1[luchtwarmtepomp koeling], Table1[Stadswarmte/gasketel koeling], "" ), "")*$B23/1000))</f>
        <v/>
      </c>
      <c r="I23" s="16" t="str" cm="1">
        <f t="array" aca="1" ref="I23" ca="1">IF($A23="","",_xlfn.XLOOKUP($A23,INDIRECT("Table1[Type gebouw]"),Table1[Verlichting])*$B23/1000)</f>
        <v/>
      </c>
      <c r="J23" s="16" t="str" cm="1">
        <f t="array" aca="1" ref="J23" ca="1">IF($A23="","",_xlfn.XLOOKUP($A23,INDIRECT("Table1[Type gebouw]"),Table1[Ventilatie])*$B23/1000)</f>
        <v/>
      </c>
      <c r="K23" s="16" t="str" cm="1">
        <f t="array" aca="1" ref="K23" ca="1">IF($A23="","",IF(AND(A23="parkeergarage onder woongebouw",B23&gt;1000),100,_xlfn.XLOOKUP($A23,INDIRECT("Table1[Type gebouw]"),Table1[gebruikersvoorzieningen])*$B23/1000))</f>
        <v/>
      </c>
      <c r="L23" s="16" t="str" cm="1">
        <f t="array" aca="1" ref="L23" ca="1">IF($A23="","",_xlfn.XLOOKUP($A23,INDIRECT("Table1[Type gebouw]"),Table1[Laadinfra])*$B23/1000)</f>
        <v/>
      </c>
      <c r="M23" s="14" t="str">
        <f t="shared" si="0"/>
        <v/>
      </c>
      <c r="N23" s="14" t="str">
        <f>IF($A23="","",_xlfn.XLOOKUP(M23/cos_phi,Aansluitcategorie!$A$4:$A$15,Aansluitcategorie!$B$4:$B$15,,1,1))</f>
        <v/>
      </c>
      <c r="O23" s="15" t="str" cm="1">
        <f t="array" aca="1" ref="O23" ca="1">IF($A23="","",_xlfn.XLOOKUP($A23,INDIRECT("Table1[Type gebouw]"),Table1[Opmerking]))</f>
        <v/>
      </c>
    </row>
    <row r="24" spans="1:15">
      <c r="A24" s="11"/>
      <c r="B24" s="12"/>
      <c r="C24" s="13" t="str" cm="1">
        <f t="array" aca="1" ref="C24" ca="1">IF($A24="","",_xlfn.XLOOKUP($A24,INDIRECT("Table1[Type gebouw]"),Table1[rekeneenheid]))</f>
        <v/>
      </c>
      <c r="D24" s="11"/>
      <c r="E24" s="5" t="str" cm="1">
        <f t="array" aca="1" ref="E24" ca="1">IF(A24="","",_xlfn.XLOOKUP($A24,INDIRECT("Table1[Type gebouw]"),Table1[Verwarmd]))</f>
        <v/>
      </c>
      <c r="F24" s="26"/>
      <c r="G24" s="16" t="str" cm="1">
        <f t="array" aca="1" ref="G24" ca="1">IF($A24="","",IF($E24=0,0,_xlfn.XLOOKUP($A24, INDIRECT("Table1[Type gebouw]"), CHOOSE(MATCH($D24, {"bodemwarmtepomp";"luchtwarmtepomp";"stadswarmte/gasketel"}, 0),
Table1[bodemwarmtepomp warmte], Table1[luchtwarmtepomp warmte], Table1[stadswarmte/gasketel warmte], "" ), "")*$B24/1000))</f>
        <v/>
      </c>
      <c r="H24" s="16" t="str" cm="1">
        <f t="array" aca="1" ref="H24" ca="1">IF($A24="","",IF($E24=0,0,_xlfn.XLOOKUP($A24, INDIRECT("Table1[Type gebouw]"), CHOOSE(MATCH($D24, {"bodemwarmtepomp";"luchtwarmtepomp";"stadswarmte/gasketel"}, 0),
Table1[bodemwarmtepomp koeling], Table1[luchtwarmtepomp koeling], Table1[Stadswarmte/gasketel koeling], "" ), "")*$B24/1000))</f>
        <v/>
      </c>
      <c r="I24" s="16" t="str" cm="1">
        <f t="array" aca="1" ref="I24" ca="1">IF($A24="","",_xlfn.XLOOKUP($A24,INDIRECT("Table1[Type gebouw]"),Table1[Verlichting])*$B24/1000)</f>
        <v/>
      </c>
      <c r="J24" s="16" t="str" cm="1">
        <f t="array" aca="1" ref="J24" ca="1">IF($A24="","",_xlfn.XLOOKUP($A24,INDIRECT("Table1[Type gebouw]"),Table1[Ventilatie])*$B24/1000)</f>
        <v/>
      </c>
      <c r="K24" s="16" t="str" cm="1">
        <f t="array" aca="1" ref="K24" ca="1">IF($A24="","",IF(AND(A24="parkeergarage onder woongebouw",B24&gt;1000),100,_xlfn.XLOOKUP($A24,INDIRECT("Table1[Type gebouw]"),Table1[gebruikersvoorzieningen])*$B24/1000))</f>
        <v/>
      </c>
      <c r="L24" s="16" t="str" cm="1">
        <f t="array" aca="1" ref="L24" ca="1">IF($A24="","",_xlfn.XLOOKUP($A24,INDIRECT("Table1[Type gebouw]"),Table1[Laadinfra])*$B24/1000)</f>
        <v/>
      </c>
      <c r="M24" s="14" t="str">
        <f t="shared" si="0"/>
        <v/>
      </c>
      <c r="N24" s="14" t="str">
        <f>IF($A24="","",_xlfn.XLOOKUP(M24/cos_phi,Aansluitcategorie!$A$4:$A$15,Aansluitcategorie!$B$4:$B$15,,1,1))</f>
        <v/>
      </c>
      <c r="O24" s="15" t="str" cm="1">
        <f t="array" aca="1" ref="O24" ca="1">IF($A24="","",_xlfn.XLOOKUP($A24,INDIRECT("Table1[Type gebouw]"),Table1[Opmerking]))</f>
        <v/>
      </c>
    </row>
    <row r="25" spans="1:15">
      <c r="A25" s="11"/>
      <c r="B25" s="12"/>
      <c r="C25" s="13" t="str" cm="1">
        <f t="array" aca="1" ref="C25" ca="1">IF($A25="","",_xlfn.XLOOKUP($A25,INDIRECT("Table1[Type gebouw]"),Table1[rekeneenheid]))</f>
        <v/>
      </c>
      <c r="D25" s="11"/>
      <c r="E25" s="5" t="str" cm="1">
        <f t="array" aca="1" ref="E25" ca="1">IF(A25="","",_xlfn.XLOOKUP($A25,INDIRECT("Table1[Type gebouw]"),Table1[Verwarmd]))</f>
        <v/>
      </c>
      <c r="F25" s="26"/>
      <c r="G25" s="16" t="str" cm="1">
        <f t="array" aca="1" ref="G25" ca="1">IF($A25="","",IF($E25=0,0,_xlfn.XLOOKUP($A25, INDIRECT("Table1[Type gebouw]"), CHOOSE(MATCH($D25, {"bodemwarmtepomp";"luchtwarmtepomp";"stadswarmte/gasketel"}, 0),
Table1[bodemwarmtepomp warmte], Table1[luchtwarmtepomp warmte], Table1[stadswarmte/gasketel warmte], "" ), "")*$B25/1000))</f>
        <v/>
      </c>
      <c r="H25" s="16" t="str" cm="1">
        <f t="array" aca="1" ref="H25" ca="1">IF($A25="","",IF($E25=0,0,_xlfn.XLOOKUP($A25, INDIRECT("Table1[Type gebouw]"), CHOOSE(MATCH($D25, {"bodemwarmtepomp";"luchtwarmtepomp";"stadswarmte/gasketel"}, 0),
Table1[bodemwarmtepomp koeling], Table1[luchtwarmtepomp koeling], Table1[Stadswarmte/gasketel koeling], "" ), "")*$B25/1000))</f>
        <v/>
      </c>
      <c r="I25" s="16" t="str" cm="1">
        <f t="array" aca="1" ref="I25" ca="1">IF($A25="","",_xlfn.XLOOKUP($A25,INDIRECT("Table1[Type gebouw]"),Table1[Verlichting])*$B25/1000)</f>
        <v/>
      </c>
      <c r="J25" s="16" t="str" cm="1">
        <f t="array" aca="1" ref="J25" ca="1">IF($A25="","",_xlfn.XLOOKUP($A25,INDIRECT("Table1[Type gebouw]"),Table1[Ventilatie])*$B25/1000)</f>
        <v/>
      </c>
      <c r="K25" s="16" t="str" cm="1">
        <f t="array" aca="1" ref="K25" ca="1">IF($A25="","",IF(AND(A25="parkeergarage onder woongebouw",B25&gt;1000),100,_xlfn.XLOOKUP($A25,INDIRECT("Table1[Type gebouw]"),Table1[gebruikersvoorzieningen])*$B25/1000))</f>
        <v/>
      </c>
      <c r="L25" s="16" t="str" cm="1">
        <f t="array" aca="1" ref="L25" ca="1">IF($A25="","",_xlfn.XLOOKUP($A25,INDIRECT("Table1[Type gebouw]"),Table1[Laadinfra])*$B25/1000)</f>
        <v/>
      </c>
      <c r="M25" s="14" t="str">
        <f t="shared" si="0"/>
        <v/>
      </c>
      <c r="N25" s="14" t="str">
        <f>IF($A25="","",_xlfn.XLOOKUP(M25/cos_phi,Aansluitcategorie!$A$4:$A$15,Aansluitcategorie!$B$4:$B$15,,1,1))</f>
        <v/>
      </c>
      <c r="O25" s="15" t="str" cm="1">
        <f t="array" aca="1" ref="O25" ca="1">IF($A25="","",_xlfn.XLOOKUP($A25,INDIRECT("Table1[Type gebouw]"),Table1[Opmerking]))</f>
        <v/>
      </c>
    </row>
    <row r="26" spans="1:15">
      <c r="A26" s="11"/>
      <c r="B26" s="12"/>
      <c r="C26" s="13" t="str" cm="1">
        <f t="array" aca="1" ref="C26" ca="1">IF($A26="","",_xlfn.XLOOKUP($A26,INDIRECT("Table1[Type gebouw]"),Table1[rekeneenheid]))</f>
        <v/>
      </c>
      <c r="D26" s="11"/>
      <c r="E26" s="5" t="str" cm="1">
        <f t="array" aca="1" ref="E26" ca="1">IF(A26="","",_xlfn.XLOOKUP($A26,INDIRECT("Table1[Type gebouw]"),Table1[Verwarmd]))</f>
        <v/>
      </c>
      <c r="F26" s="26"/>
      <c r="G26" s="16" t="str" cm="1">
        <f t="array" aca="1" ref="G26" ca="1">IF($A26="","",IF($E26=0,0,_xlfn.XLOOKUP($A26, INDIRECT("Table1[Type gebouw]"), CHOOSE(MATCH($D26, {"bodemwarmtepomp";"luchtwarmtepomp";"stadswarmte/gasketel"}, 0),
Table1[bodemwarmtepomp warmte], Table1[luchtwarmtepomp warmte], Table1[stadswarmte/gasketel warmte], "" ), "")*$B26/1000))</f>
        <v/>
      </c>
      <c r="H26" s="16" t="str" cm="1">
        <f t="array" aca="1" ref="H26" ca="1">IF($A26="","",IF($E26=0,0,_xlfn.XLOOKUP($A26, INDIRECT("Table1[Type gebouw]"), CHOOSE(MATCH($D26, {"bodemwarmtepomp";"luchtwarmtepomp";"stadswarmte/gasketel"}, 0),
Table1[bodemwarmtepomp koeling], Table1[luchtwarmtepomp koeling], Table1[Stadswarmte/gasketel koeling], "" ), "")*$B26/1000))</f>
        <v/>
      </c>
      <c r="I26" s="16" t="str" cm="1">
        <f t="array" aca="1" ref="I26" ca="1">IF($A26="","",_xlfn.XLOOKUP($A26,INDIRECT("Table1[Type gebouw]"),Table1[Verlichting])*$B26/1000)</f>
        <v/>
      </c>
      <c r="J26" s="16" t="str" cm="1">
        <f t="array" aca="1" ref="J26" ca="1">IF($A26="","",_xlfn.XLOOKUP($A26,INDIRECT("Table1[Type gebouw]"),Table1[Ventilatie])*$B26/1000)</f>
        <v/>
      </c>
      <c r="K26" s="16" t="str" cm="1">
        <f t="array" aca="1" ref="K26" ca="1">IF($A26="","",IF(AND(A26="parkeergarage onder woongebouw",B26&gt;1000),100,_xlfn.XLOOKUP($A26,INDIRECT("Table1[Type gebouw]"),Table1[gebruikersvoorzieningen])*$B26/1000))</f>
        <v/>
      </c>
      <c r="L26" s="16" t="str" cm="1">
        <f t="array" aca="1" ref="L26" ca="1">IF($A26="","",_xlfn.XLOOKUP($A26,INDIRECT("Table1[Type gebouw]"),Table1[Laadinfra])*$B26/1000)</f>
        <v/>
      </c>
      <c r="M26" s="14" t="str">
        <f t="shared" si="0"/>
        <v/>
      </c>
      <c r="N26" s="14" t="str">
        <f>IF($A26="","",_xlfn.XLOOKUP(M26/cos_phi,Aansluitcategorie!$A$4:$A$15,Aansluitcategorie!$B$4:$B$15,,1,1))</f>
        <v/>
      </c>
      <c r="O26" s="15" t="str" cm="1">
        <f t="array" aca="1" ref="O26" ca="1">IF($A26="","",_xlfn.XLOOKUP($A26,INDIRECT("Table1[Type gebouw]"),Table1[Opmerking]))</f>
        <v/>
      </c>
    </row>
    <row r="27" spans="1:15">
      <c r="A27" s="11"/>
      <c r="B27" s="12"/>
      <c r="C27" s="13" t="str" cm="1">
        <f t="array" aca="1" ref="C27" ca="1">IF($A27="","",_xlfn.XLOOKUP($A27,INDIRECT("Table1[Type gebouw]"),Table1[rekeneenheid]))</f>
        <v/>
      </c>
      <c r="D27" s="11"/>
      <c r="E27" s="5" t="str" cm="1">
        <f t="array" aca="1" ref="E27" ca="1">IF(A27="","",_xlfn.XLOOKUP($A27,INDIRECT("Table1[Type gebouw]"),Table1[Verwarmd]))</f>
        <v/>
      </c>
      <c r="F27" s="26"/>
      <c r="G27" s="16" t="str" cm="1">
        <f t="array" aca="1" ref="G27" ca="1">IF($A27="","",IF($E27=0,0,_xlfn.XLOOKUP($A27, INDIRECT("Table1[Type gebouw]"), CHOOSE(MATCH($D27, {"bodemwarmtepomp";"luchtwarmtepomp";"stadswarmte/gasketel"}, 0),
Table1[bodemwarmtepomp warmte], Table1[luchtwarmtepomp warmte], Table1[stadswarmte/gasketel warmte], "" ), "")*$B27/1000))</f>
        <v/>
      </c>
      <c r="H27" s="16" t="str" cm="1">
        <f t="array" aca="1" ref="H27" ca="1">IF($A27="","",IF($E27=0,0,_xlfn.XLOOKUP($A27, INDIRECT("Table1[Type gebouw]"), CHOOSE(MATCH($D27, {"bodemwarmtepomp";"luchtwarmtepomp";"stadswarmte/gasketel"}, 0),
Table1[bodemwarmtepomp koeling], Table1[luchtwarmtepomp koeling], Table1[Stadswarmte/gasketel koeling], "" ), "")*$B27/1000))</f>
        <v/>
      </c>
      <c r="I27" s="16" t="str" cm="1">
        <f t="array" aca="1" ref="I27" ca="1">IF($A27="","",_xlfn.XLOOKUP($A27,INDIRECT("Table1[Type gebouw]"),Table1[Verlichting])*$B27/1000)</f>
        <v/>
      </c>
      <c r="J27" s="16" t="str" cm="1">
        <f t="array" aca="1" ref="J27" ca="1">IF($A27="","",_xlfn.XLOOKUP($A27,INDIRECT("Table1[Type gebouw]"),Table1[Ventilatie])*$B27/1000)</f>
        <v/>
      </c>
      <c r="K27" s="16" t="str" cm="1">
        <f t="array" aca="1" ref="K27" ca="1">IF($A27="","",IF(AND(A27="parkeergarage onder woongebouw",B27&gt;1000),100,_xlfn.XLOOKUP($A27,INDIRECT("Table1[Type gebouw]"),Table1[gebruikersvoorzieningen])*$B27/1000))</f>
        <v/>
      </c>
      <c r="L27" s="16" t="str" cm="1">
        <f t="array" aca="1" ref="L27" ca="1">IF($A27="","",_xlfn.XLOOKUP($A27,INDIRECT("Table1[Type gebouw]"),Table1[Laadinfra])*$B27/1000)</f>
        <v/>
      </c>
      <c r="M27" s="14" t="str">
        <f t="shared" si="0"/>
        <v/>
      </c>
      <c r="N27" s="14" t="str">
        <f>IF($A27="","",_xlfn.XLOOKUP(M27/cos_phi,Aansluitcategorie!$A$4:$A$15,Aansluitcategorie!$B$4:$B$15,,1,1))</f>
        <v/>
      </c>
      <c r="O27" s="15" t="str" cm="1">
        <f t="array" aca="1" ref="O27" ca="1">IF($A27="","",_xlfn.XLOOKUP($A27,INDIRECT("Table1[Type gebouw]"),Table1[Opmerking]))</f>
        <v/>
      </c>
    </row>
    <row r="28" spans="1:15">
      <c r="A28" s="11"/>
      <c r="B28" s="12"/>
      <c r="C28" s="13" t="str" cm="1">
        <f t="array" aca="1" ref="C28" ca="1">IF($A28="","",_xlfn.XLOOKUP($A28,INDIRECT("Table1[Type gebouw]"),Table1[rekeneenheid]))</f>
        <v/>
      </c>
      <c r="D28" s="11"/>
      <c r="E28" s="5" t="str" cm="1">
        <f t="array" aca="1" ref="E28" ca="1">IF(A28="","",_xlfn.XLOOKUP($A28,INDIRECT("Table1[Type gebouw]"),Table1[Verwarmd]))</f>
        <v/>
      </c>
      <c r="F28" s="26"/>
      <c r="G28" s="16" t="str" cm="1">
        <f t="array" aca="1" ref="G28" ca="1">IF($A28="","",IF($E28=0,0,_xlfn.XLOOKUP($A28, INDIRECT("Table1[Type gebouw]"), CHOOSE(MATCH($D28, {"bodemwarmtepomp";"luchtwarmtepomp";"stadswarmte/gasketel"}, 0),
Table1[bodemwarmtepomp warmte], Table1[luchtwarmtepomp warmte], Table1[stadswarmte/gasketel warmte], "" ), "")*$B28/1000))</f>
        <v/>
      </c>
      <c r="H28" s="16" t="str" cm="1">
        <f t="array" aca="1" ref="H28" ca="1">IF($A28="","",IF($E28=0,0,_xlfn.XLOOKUP($A28, INDIRECT("Table1[Type gebouw]"), CHOOSE(MATCH($D28, {"bodemwarmtepomp";"luchtwarmtepomp";"stadswarmte/gasketel"}, 0),
Table1[bodemwarmtepomp koeling], Table1[luchtwarmtepomp koeling], Table1[Stadswarmte/gasketel koeling], "" ), "")*$B28/1000))</f>
        <v/>
      </c>
      <c r="I28" s="16" t="str" cm="1">
        <f t="array" aca="1" ref="I28" ca="1">IF($A28="","",_xlfn.XLOOKUP($A28,INDIRECT("Table1[Type gebouw]"),Table1[Verlichting])*$B28/1000)</f>
        <v/>
      </c>
      <c r="J28" s="16" t="str" cm="1">
        <f t="array" aca="1" ref="J28" ca="1">IF($A28="","",_xlfn.XLOOKUP($A28,INDIRECT("Table1[Type gebouw]"),Table1[Ventilatie])*$B28/1000)</f>
        <v/>
      </c>
      <c r="K28" s="16" t="str" cm="1">
        <f t="array" aca="1" ref="K28" ca="1">IF($A28="","",IF(AND(A28="parkeergarage onder woongebouw",B28&gt;1000),100,_xlfn.XLOOKUP($A28,INDIRECT("Table1[Type gebouw]"),Table1[gebruikersvoorzieningen])*$B28/1000))</f>
        <v/>
      </c>
      <c r="L28" s="16" t="str" cm="1">
        <f t="array" aca="1" ref="L28" ca="1">IF($A28="","",_xlfn.XLOOKUP($A28,INDIRECT("Table1[Type gebouw]"),Table1[Laadinfra])*$B28/1000)</f>
        <v/>
      </c>
      <c r="M28" s="14" t="str">
        <f t="shared" si="0"/>
        <v/>
      </c>
      <c r="N28" s="14" t="str">
        <f>IF($A28="","",_xlfn.XLOOKUP(M28/cos_phi,Aansluitcategorie!$A$4:$A$15,Aansluitcategorie!$B$4:$B$15,,1,1))</f>
        <v/>
      </c>
      <c r="O28" s="15" t="str" cm="1">
        <f t="array" aca="1" ref="O28" ca="1">IF($A28="","",_xlfn.XLOOKUP($A28,INDIRECT("Table1[Type gebouw]"),Table1[Opmerking]))</f>
        <v/>
      </c>
    </row>
    <row r="29" spans="1:15">
      <c r="A29" s="11"/>
      <c r="B29" s="12"/>
      <c r="C29" s="13" t="str" cm="1">
        <f t="array" aca="1" ref="C29" ca="1">IF($A29="","",_xlfn.XLOOKUP($A29,INDIRECT("Table1[Type gebouw]"),Table1[rekeneenheid]))</f>
        <v/>
      </c>
      <c r="D29" s="11"/>
      <c r="E29" s="5" t="str" cm="1">
        <f t="array" aca="1" ref="E29" ca="1">IF(A29="","",_xlfn.XLOOKUP($A29,INDIRECT("Table1[Type gebouw]"),Table1[Verwarmd]))</f>
        <v/>
      </c>
      <c r="F29" s="26"/>
      <c r="G29" s="16" t="str" cm="1">
        <f t="array" aca="1" ref="G29" ca="1">IF($A29="","",IF($E29=0,0,_xlfn.XLOOKUP($A29, INDIRECT("Table1[Type gebouw]"), CHOOSE(MATCH($D29, {"bodemwarmtepomp";"luchtwarmtepomp";"stadswarmte/gasketel"}, 0),
Table1[bodemwarmtepomp warmte], Table1[luchtwarmtepomp warmte], Table1[stadswarmte/gasketel warmte], "" ), "")*$B29/1000))</f>
        <v/>
      </c>
      <c r="H29" s="16" t="str" cm="1">
        <f t="array" aca="1" ref="H29" ca="1">IF($A29="","",IF($E29=0,0,_xlfn.XLOOKUP($A29, INDIRECT("Table1[Type gebouw]"), CHOOSE(MATCH($D29, {"bodemwarmtepomp";"luchtwarmtepomp";"stadswarmte/gasketel"}, 0),
Table1[bodemwarmtepomp koeling], Table1[luchtwarmtepomp koeling], Table1[Stadswarmte/gasketel koeling], "" ), "")*$B29/1000))</f>
        <v/>
      </c>
      <c r="I29" s="16" t="str" cm="1">
        <f t="array" aca="1" ref="I29" ca="1">IF($A29="","",_xlfn.XLOOKUP($A29,INDIRECT("Table1[Type gebouw]"),Table1[Verlichting])*$B29/1000)</f>
        <v/>
      </c>
      <c r="J29" s="16" t="str" cm="1">
        <f t="array" aca="1" ref="J29" ca="1">IF($A29="","",_xlfn.XLOOKUP($A29,INDIRECT("Table1[Type gebouw]"),Table1[Ventilatie])*$B29/1000)</f>
        <v/>
      </c>
      <c r="K29" s="16" t="str" cm="1">
        <f t="array" aca="1" ref="K29" ca="1">IF($A29="","",IF(AND(A29="parkeergarage onder woongebouw",B29&gt;1000),100,_xlfn.XLOOKUP($A29,INDIRECT("Table1[Type gebouw]"),Table1[gebruikersvoorzieningen])*$B29/1000))</f>
        <v/>
      </c>
      <c r="L29" s="16" t="str" cm="1">
        <f t="array" aca="1" ref="L29" ca="1">IF($A29="","",_xlfn.XLOOKUP($A29,INDIRECT("Table1[Type gebouw]"),Table1[Laadinfra])*$B29/1000)</f>
        <v/>
      </c>
      <c r="M29" s="14" t="str">
        <f t="shared" si="0"/>
        <v/>
      </c>
      <c r="N29" s="14" t="str">
        <f>IF($A29="","",_xlfn.XLOOKUP(M29/cos_phi,Aansluitcategorie!$A$4:$A$15,Aansluitcategorie!$B$4:$B$15,,1,1))</f>
        <v/>
      </c>
      <c r="O29" s="15" t="str" cm="1">
        <f t="array" aca="1" ref="O29" ca="1">IF($A29="","",_xlfn.XLOOKUP($A29,INDIRECT("Table1[Type gebouw]"),Table1[Opmerking]))</f>
        <v/>
      </c>
    </row>
    <row r="30" spans="1:15">
      <c r="A30" s="11"/>
      <c r="B30" s="12"/>
      <c r="C30" s="13" t="str" cm="1">
        <f t="array" aca="1" ref="C30" ca="1">IF($A30="","",_xlfn.XLOOKUP($A30,INDIRECT("Table1[Type gebouw]"),Table1[rekeneenheid]))</f>
        <v/>
      </c>
      <c r="D30" s="11"/>
      <c r="E30" s="5" t="str" cm="1">
        <f t="array" aca="1" ref="E30" ca="1">IF(A30="","",_xlfn.XLOOKUP($A30,INDIRECT("Table1[Type gebouw]"),Table1[Verwarmd]))</f>
        <v/>
      </c>
      <c r="F30" s="26"/>
      <c r="G30" s="16" t="str" cm="1">
        <f t="array" aca="1" ref="G30" ca="1">IF($A30="","",IF($E30=0,0,_xlfn.XLOOKUP($A30, INDIRECT("Table1[Type gebouw]"), CHOOSE(MATCH($D30, {"bodemwarmtepomp";"luchtwarmtepomp";"stadswarmte/gasketel"}, 0),
Table1[bodemwarmtepomp warmte], Table1[luchtwarmtepomp warmte], Table1[stadswarmte/gasketel warmte], "" ), "")*$B30/1000))</f>
        <v/>
      </c>
      <c r="H30" s="16" t="str" cm="1">
        <f t="array" aca="1" ref="H30" ca="1">IF($A30="","",IF($E30=0,0,_xlfn.XLOOKUP($A30, INDIRECT("Table1[Type gebouw]"), CHOOSE(MATCH($D30, {"bodemwarmtepomp";"luchtwarmtepomp";"stadswarmte/gasketel"}, 0),
Table1[bodemwarmtepomp koeling], Table1[luchtwarmtepomp koeling], Table1[Stadswarmte/gasketel koeling], "" ), "")*$B30/1000))</f>
        <v/>
      </c>
      <c r="I30" s="16" t="str" cm="1">
        <f t="array" aca="1" ref="I30" ca="1">IF($A30="","",_xlfn.XLOOKUP($A30,INDIRECT("Table1[Type gebouw]"),Table1[Verlichting])*$B30/1000)</f>
        <v/>
      </c>
      <c r="J30" s="16" t="str" cm="1">
        <f t="array" aca="1" ref="J30" ca="1">IF($A30="","",_xlfn.XLOOKUP($A30,INDIRECT("Table1[Type gebouw]"),Table1[Ventilatie])*$B30/1000)</f>
        <v/>
      </c>
      <c r="K30" s="16" t="str" cm="1">
        <f t="array" aca="1" ref="K30" ca="1">IF($A30="","",IF(AND(A30="parkeergarage onder woongebouw",B30&gt;1000),100,_xlfn.XLOOKUP($A30,INDIRECT("Table1[Type gebouw]"),Table1[gebruikersvoorzieningen])*$B30/1000))</f>
        <v/>
      </c>
      <c r="L30" s="16" t="str" cm="1">
        <f t="array" aca="1" ref="L30" ca="1">IF($A30="","",_xlfn.XLOOKUP($A30,INDIRECT("Table1[Type gebouw]"),Table1[Laadinfra])*$B30/1000)</f>
        <v/>
      </c>
      <c r="M30" s="14" t="str">
        <f t="shared" si="0"/>
        <v/>
      </c>
      <c r="N30" s="14" t="str">
        <f>IF($A30="","",_xlfn.XLOOKUP(M30/cos_phi,Aansluitcategorie!$A$4:$A$15,Aansluitcategorie!$B$4:$B$15,,1,1))</f>
        <v/>
      </c>
      <c r="O30" s="15" t="str" cm="1">
        <f t="array" aca="1" ref="O30" ca="1">IF($A30="","",_xlfn.XLOOKUP($A30,INDIRECT("Table1[Type gebouw]"),Table1[Opmerking]))</f>
        <v/>
      </c>
    </row>
    <row r="31" spans="1:15">
      <c r="A31" s="11"/>
      <c r="B31" s="12"/>
      <c r="C31" s="13" t="str" cm="1">
        <f t="array" aca="1" ref="C31" ca="1">IF($A31="","",_xlfn.XLOOKUP($A31,INDIRECT("Table1[Type gebouw]"),Table1[rekeneenheid]))</f>
        <v/>
      </c>
      <c r="D31" s="11"/>
      <c r="E31" s="5" t="str" cm="1">
        <f t="array" aca="1" ref="E31" ca="1">IF(A31="","",_xlfn.XLOOKUP($A31,INDIRECT("Table1[Type gebouw]"),Table1[Verwarmd]))</f>
        <v/>
      </c>
      <c r="F31" s="26"/>
      <c r="G31" s="16" t="str" cm="1">
        <f t="array" aca="1" ref="G31" ca="1">IF($A31="","",IF($E31=0,0,_xlfn.XLOOKUP($A31, INDIRECT("Table1[Type gebouw]"), CHOOSE(MATCH($D31, {"bodemwarmtepomp";"luchtwarmtepomp";"stadswarmte/gasketel"}, 0),
Table1[bodemwarmtepomp warmte], Table1[luchtwarmtepomp warmte], Table1[stadswarmte/gasketel warmte], "" ), "")*$B31/1000))</f>
        <v/>
      </c>
      <c r="H31" s="16" t="str" cm="1">
        <f t="array" aca="1" ref="H31" ca="1">IF($A31="","",IF($E31=0,0,_xlfn.XLOOKUP($A31, INDIRECT("Table1[Type gebouw]"), CHOOSE(MATCH($D31, {"bodemwarmtepomp";"luchtwarmtepomp";"stadswarmte/gasketel"}, 0),
Table1[bodemwarmtepomp koeling], Table1[luchtwarmtepomp koeling], Table1[Stadswarmte/gasketel koeling], "" ), "")*$B31/1000))</f>
        <v/>
      </c>
      <c r="I31" s="16" t="str" cm="1">
        <f t="array" aca="1" ref="I31" ca="1">IF($A31="","",_xlfn.XLOOKUP($A31,INDIRECT("Table1[Type gebouw]"),Table1[Verlichting])*$B31/1000)</f>
        <v/>
      </c>
      <c r="J31" s="16" t="str" cm="1">
        <f t="array" aca="1" ref="J31" ca="1">IF($A31="","",_xlfn.XLOOKUP($A31,INDIRECT("Table1[Type gebouw]"),Table1[Ventilatie])*$B31/1000)</f>
        <v/>
      </c>
      <c r="K31" s="16" t="str" cm="1">
        <f t="array" aca="1" ref="K31" ca="1">IF($A31="","",IF(AND(A31="parkeergarage onder woongebouw",B31&gt;1000),100,_xlfn.XLOOKUP($A31,INDIRECT("Table1[Type gebouw]"),Table1[gebruikersvoorzieningen])*$B31/1000))</f>
        <v/>
      </c>
      <c r="L31" s="16" t="str" cm="1">
        <f t="array" aca="1" ref="L31" ca="1">IF($A31="","",_xlfn.XLOOKUP($A31,INDIRECT("Table1[Type gebouw]"),Table1[Laadinfra])*$B31/1000)</f>
        <v/>
      </c>
      <c r="M31" s="14" t="str">
        <f t="shared" si="0"/>
        <v/>
      </c>
      <c r="N31" s="14" t="str">
        <f>IF($A31="","",_xlfn.XLOOKUP(M31/cos_phi,Aansluitcategorie!$A$4:$A$15,Aansluitcategorie!$B$4:$B$15,,1,1))</f>
        <v/>
      </c>
      <c r="O31" s="15" t="str" cm="1">
        <f t="array" aca="1" ref="O31" ca="1">IF($A31="","",_xlfn.XLOOKUP($A31,INDIRECT("Table1[Type gebouw]"),Table1[Opmerking]))</f>
        <v/>
      </c>
    </row>
    <row r="32" spans="1:15">
      <c r="A32" s="11"/>
      <c r="B32" s="12"/>
      <c r="C32" s="13" t="str" cm="1">
        <f t="array" aca="1" ref="C32" ca="1">IF($A32="","",_xlfn.XLOOKUP($A32,INDIRECT("Table1[Type gebouw]"),Table1[rekeneenheid]))</f>
        <v/>
      </c>
      <c r="D32" s="11"/>
      <c r="E32" s="5" t="str" cm="1">
        <f t="array" aca="1" ref="E32" ca="1">IF(A32="","",_xlfn.XLOOKUP($A32,INDIRECT("Table1[Type gebouw]"),Table1[Verwarmd]))</f>
        <v/>
      </c>
      <c r="F32" s="26"/>
      <c r="G32" s="16" t="str" cm="1">
        <f t="array" aca="1" ref="G32" ca="1">IF($A32="","",IF($E32=0,0,_xlfn.XLOOKUP($A32, INDIRECT("Table1[Type gebouw]"), CHOOSE(MATCH($D32, {"bodemwarmtepomp";"luchtwarmtepomp";"stadswarmte/gasketel"}, 0),
Table1[bodemwarmtepomp warmte], Table1[luchtwarmtepomp warmte], Table1[stadswarmte/gasketel warmte], "" ), "")*$B32/1000))</f>
        <v/>
      </c>
      <c r="H32" s="16" t="str" cm="1">
        <f t="array" aca="1" ref="H32" ca="1">IF($A32="","",IF($E32=0,0,_xlfn.XLOOKUP($A32, INDIRECT("Table1[Type gebouw]"), CHOOSE(MATCH($D32, {"bodemwarmtepomp";"luchtwarmtepomp";"stadswarmte/gasketel"}, 0),
Table1[bodemwarmtepomp koeling], Table1[luchtwarmtepomp koeling], Table1[Stadswarmte/gasketel koeling], "" ), "")*$B32/1000))</f>
        <v/>
      </c>
      <c r="I32" s="16" t="str" cm="1">
        <f t="array" aca="1" ref="I32" ca="1">IF($A32="","",_xlfn.XLOOKUP($A32,INDIRECT("Table1[Type gebouw]"),Table1[Verlichting])*$B32/1000)</f>
        <v/>
      </c>
      <c r="J32" s="16" t="str" cm="1">
        <f t="array" aca="1" ref="J32" ca="1">IF($A32="","",_xlfn.XLOOKUP($A32,INDIRECT("Table1[Type gebouw]"),Table1[Ventilatie])*$B32/1000)</f>
        <v/>
      </c>
      <c r="K32" s="16" t="str" cm="1">
        <f t="array" aca="1" ref="K32" ca="1">IF($A32="","",IF(AND(A32="parkeergarage onder woongebouw",B32&gt;1000),100,_xlfn.XLOOKUP($A32,INDIRECT("Table1[Type gebouw]"),Table1[gebruikersvoorzieningen])*$B32/1000))</f>
        <v/>
      </c>
      <c r="L32" s="16" t="str" cm="1">
        <f t="array" aca="1" ref="L32" ca="1">IF($A32="","",_xlfn.XLOOKUP($A32,INDIRECT("Table1[Type gebouw]"),Table1[Laadinfra])*$B32/1000)</f>
        <v/>
      </c>
      <c r="M32" s="14" t="str">
        <f t="shared" si="0"/>
        <v/>
      </c>
      <c r="N32" s="14" t="str">
        <f>IF($A32="","",_xlfn.XLOOKUP(M32/cos_phi,Aansluitcategorie!$A$4:$A$15,Aansluitcategorie!$B$4:$B$15,,1,1))</f>
        <v/>
      </c>
      <c r="O32" s="15" t="str" cm="1">
        <f t="array" aca="1" ref="O32" ca="1">IF($A32="","",_xlfn.XLOOKUP($A32,INDIRECT("Table1[Type gebouw]"),Table1[Opmerking]))</f>
        <v/>
      </c>
    </row>
    <row r="33" spans="1:15">
      <c r="A33" s="11"/>
      <c r="B33" s="12"/>
      <c r="C33" s="13" t="str" cm="1">
        <f t="array" aca="1" ref="C33" ca="1">IF($A33="","",_xlfn.XLOOKUP($A33,INDIRECT("Table1[Type gebouw]"),Table1[rekeneenheid]))</f>
        <v/>
      </c>
      <c r="D33" s="11"/>
      <c r="E33" s="5" t="str" cm="1">
        <f t="array" aca="1" ref="E33" ca="1">IF(A33="","",_xlfn.XLOOKUP($A33,INDIRECT("Table1[Type gebouw]"),Table1[Verwarmd]))</f>
        <v/>
      </c>
      <c r="F33" s="26"/>
      <c r="G33" s="16" t="str" cm="1">
        <f t="array" aca="1" ref="G33" ca="1">IF($A33="","",IF($E33=0,0,_xlfn.XLOOKUP($A33, INDIRECT("Table1[Type gebouw]"), CHOOSE(MATCH($D33, {"bodemwarmtepomp";"luchtwarmtepomp";"stadswarmte/gasketel"}, 0),
Table1[bodemwarmtepomp warmte], Table1[luchtwarmtepomp warmte], Table1[stadswarmte/gasketel warmte], "" ), "")*$B33/1000))</f>
        <v/>
      </c>
      <c r="H33" s="16" t="str" cm="1">
        <f t="array" aca="1" ref="H33" ca="1">IF($A33="","",IF($E33=0,0,_xlfn.XLOOKUP($A33, INDIRECT("Table1[Type gebouw]"), CHOOSE(MATCH($D33, {"bodemwarmtepomp";"luchtwarmtepomp";"stadswarmte/gasketel"}, 0),
Table1[bodemwarmtepomp koeling], Table1[luchtwarmtepomp koeling], Table1[Stadswarmte/gasketel koeling], "" ), "")*$B33/1000))</f>
        <v/>
      </c>
      <c r="I33" s="16" t="str" cm="1">
        <f t="array" aca="1" ref="I33" ca="1">IF($A33="","",_xlfn.XLOOKUP($A33,INDIRECT("Table1[Type gebouw]"),Table1[Verlichting])*$B33/1000)</f>
        <v/>
      </c>
      <c r="J33" s="16" t="str" cm="1">
        <f t="array" aca="1" ref="J33" ca="1">IF($A33="","",_xlfn.XLOOKUP($A33,INDIRECT("Table1[Type gebouw]"),Table1[Ventilatie])*$B33/1000)</f>
        <v/>
      </c>
      <c r="K33" s="16" t="str" cm="1">
        <f t="array" aca="1" ref="K33" ca="1">IF($A33="","",IF(AND(A33="parkeergarage onder woongebouw",B33&gt;1000),100,_xlfn.XLOOKUP($A33,INDIRECT("Table1[Type gebouw]"),Table1[gebruikersvoorzieningen])*$B33/1000))</f>
        <v/>
      </c>
      <c r="L33" s="16" t="str" cm="1">
        <f t="array" aca="1" ref="L33" ca="1">IF($A33="","",_xlfn.XLOOKUP($A33,INDIRECT("Table1[Type gebouw]"),Table1[Laadinfra])*$B33/1000)</f>
        <v/>
      </c>
      <c r="M33" s="14" t="str">
        <f t="shared" si="0"/>
        <v/>
      </c>
      <c r="N33" s="14" t="str">
        <f>IF($A33="","",_xlfn.XLOOKUP(M33/cos_phi,Aansluitcategorie!$A$4:$A$15,Aansluitcategorie!$B$4:$B$15,,1,1))</f>
        <v/>
      </c>
      <c r="O33" s="15" t="str" cm="1">
        <f t="array" aca="1" ref="O33" ca="1">IF($A33="","",_xlfn.XLOOKUP($A33,INDIRECT("Table1[Type gebouw]"),Table1[Opmerking]))</f>
        <v/>
      </c>
    </row>
    <row r="34" spans="1:15">
      <c r="A34" s="11"/>
      <c r="B34" s="12"/>
      <c r="C34" s="13" t="str" cm="1">
        <f t="array" aca="1" ref="C34" ca="1">IF($A34="","",_xlfn.XLOOKUP($A34,INDIRECT("Table1[Type gebouw]"),Table1[rekeneenheid]))</f>
        <v/>
      </c>
      <c r="D34" s="11"/>
      <c r="E34" s="5" t="str" cm="1">
        <f t="array" aca="1" ref="E34" ca="1">IF(A34="","",_xlfn.XLOOKUP($A34,INDIRECT("Table1[Type gebouw]"),Table1[Verwarmd]))</f>
        <v/>
      </c>
      <c r="F34" s="26"/>
      <c r="G34" s="16" t="str" cm="1">
        <f t="array" aca="1" ref="G34" ca="1">IF($A34="","",IF($E34=0,0,_xlfn.XLOOKUP($A34, INDIRECT("Table1[Type gebouw]"), CHOOSE(MATCH($D34, {"bodemwarmtepomp";"luchtwarmtepomp";"stadswarmte/gasketel"}, 0),
Table1[bodemwarmtepomp warmte], Table1[luchtwarmtepomp warmte], Table1[stadswarmte/gasketel warmte], "" ), "")*$B34/1000))</f>
        <v/>
      </c>
      <c r="H34" s="16" t="str" cm="1">
        <f t="array" aca="1" ref="H34" ca="1">IF($A34="","",IF($E34=0,0,_xlfn.XLOOKUP($A34, INDIRECT("Table1[Type gebouw]"), CHOOSE(MATCH($D34, {"bodemwarmtepomp";"luchtwarmtepomp";"stadswarmte/gasketel"}, 0),
Table1[bodemwarmtepomp koeling], Table1[luchtwarmtepomp koeling], Table1[Stadswarmte/gasketel koeling], "" ), "")*$B34/1000))</f>
        <v/>
      </c>
      <c r="I34" s="16" t="str" cm="1">
        <f t="array" aca="1" ref="I34" ca="1">IF($A34="","",_xlfn.XLOOKUP($A34,INDIRECT("Table1[Type gebouw]"),Table1[Verlichting])*$B34/1000)</f>
        <v/>
      </c>
      <c r="J34" s="16" t="str" cm="1">
        <f t="array" aca="1" ref="J34" ca="1">IF($A34="","",_xlfn.XLOOKUP($A34,INDIRECT("Table1[Type gebouw]"),Table1[Ventilatie])*$B34/1000)</f>
        <v/>
      </c>
      <c r="K34" s="16" t="str" cm="1">
        <f t="array" aca="1" ref="K34" ca="1">IF($A34="","",IF(AND(A34="parkeergarage onder woongebouw",B34&gt;1000),100,_xlfn.XLOOKUP($A34,INDIRECT("Table1[Type gebouw]"),Table1[gebruikersvoorzieningen])*$B34/1000))</f>
        <v/>
      </c>
      <c r="L34" s="16" t="str" cm="1">
        <f t="array" aca="1" ref="L34" ca="1">IF($A34="","",_xlfn.XLOOKUP($A34,INDIRECT("Table1[Type gebouw]"),Table1[Laadinfra])*$B34/1000)</f>
        <v/>
      </c>
      <c r="M34" s="14" t="str">
        <f t="shared" si="0"/>
        <v/>
      </c>
      <c r="N34" s="14" t="str">
        <f>IF($A34="","",_xlfn.XLOOKUP(M34/cos_phi,Aansluitcategorie!$A$4:$A$15,Aansluitcategorie!$B$4:$B$15,,1,1))</f>
        <v/>
      </c>
      <c r="O34" s="15" t="str" cm="1">
        <f t="array" aca="1" ref="O34" ca="1">IF($A34="","",_xlfn.XLOOKUP($A34,INDIRECT("Table1[Type gebouw]"),Table1[Opmerking]))</f>
        <v/>
      </c>
    </row>
    <row r="35" spans="1:15">
      <c r="A35" s="11"/>
      <c r="B35" s="12"/>
      <c r="C35" s="13" t="str" cm="1">
        <f t="array" aca="1" ref="C35" ca="1">IF($A35="","",_xlfn.XLOOKUP($A35,INDIRECT("Table1[Type gebouw]"),Table1[rekeneenheid]))</f>
        <v/>
      </c>
      <c r="D35" s="11"/>
      <c r="E35" s="5" t="str" cm="1">
        <f t="array" aca="1" ref="E35" ca="1">IF(A35="","",_xlfn.XLOOKUP($A35,INDIRECT("Table1[Type gebouw]"),Table1[Verwarmd]))</f>
        <v/>
      </c>
      <c r="F35" s="26"/>
      <c r="G35" s="16" t="str" cm="1">
        <f t="array" aca="1" ref="G35" ca="1">IF($A35="","",IF($E35=0,0,_xlfn.XLOOKUP($A35, INDIRECT("Table1[Type gebouw]"), CHOOSE(MATCH($D35, {"bodemwarmtepomp";"luchtwarmtepomp";"stadswarmte/gasketel"}, 0),
Table1[bodemwarmtepomp warmte], Table1[luchtwarmtepomp warmte], Table1[stadswarmte/gasketel warmte], "" ), "")*$B35/1000))</f>
        <v/>
      </c>
      <c r="H35" s="16" t="str" cm="1">
        <f t="array" aca="1" ref="H35" ca="1">IF($A35="","",IF($E35=0,0,_xlfn.XLOOKUP($A35, INDIRECT("Table1[Type gebouw]"), CHOOSE(MATCH($D35, {"bodemwarmtepomp";"luchtwarmtepomp";"stadswarmte/gasketel"}, 0),
Table1[bodemwarmtepomp koeling], Table1[luchtwarmtepomp koeling], Table1[Stadswarmte/gasketel koeling], "" ), "")*$B35/1000))</f>
        <v/>
      </c>
      <c r="I35" s="16" t="str" cm="1">
        <f t="array" aca="1" ref="I35" ca="1">IF($A35="","",_xlfn.XLOOKUP($A35,INDIRECT("Table1[Type gebouw]"),Table1[Verlichting])*$B35/1000)</f>
        <v/>
      </c>
      <c r="J35" s="16" t="str" cm="1">
        <f t="array" aca="1" ref="J35" ca="1">IF($A35="","",_xlfn.XLOOKUP($A35,INDIRECT("Table1[Type gebouw]"),Table1[Ventilatie])*$B35/1000)</f>
        <v/>
      </c>
      <c r="K35" s="16" t="str" cm="1">
        <f t="array" aca="1" ref="K35" ca="1">IF($A35="","",IF(AND(A35="parkeergarage onder woongebouw",B35&gt;1000),100,_xlfn.XLOOKUP($A35,INDIRECT("Table1[Type gebouw]"),Table1[gebruikersvoorzieningen])*$B35/1000))</f>
        <v/>
      </c>
      <c r="L35" s="16" t="str" cm="1">
        <f t="array" aca="1" ref="L35" ca="1">IF($A35="","",_xlfn.XLOOKUP($A35,INDIRECT("Table1[Type gebouw]"),Table1[Laadinfra])*$B35/1000)</f>
        <v/>
      </c>
      <c r="M35" s="14" t="str">
        <f t="shared" si="0"/>
        <v/>
      </c>
      <c r="N35" s="14" t="str">
        <f>IF($A35="","",_xlfn.XLOOKUP(M35/cos_phi,Aansluitcategorie!$A$4:$A$15,Aansluitcategorie!$B$4:$B$15,,1,1))</f>
        <v/>
      </c>
      <c r="O35" s="15" t="str" cm="1">
        <f t="array" aca="1" ref="O35" ca="1">IF($A35="","",_xlfn.XLOOKUP($A35,INDIRECT("Table1[Type gebouw]"),Table1[Opmerking]))</f>
        <v/>
      </c>
    </row>
    <row r="36" spans="1:15">
      <c r="A36" s="11"/>
      <c r="B36" s="12"/>
      <c r="C36" s="13" t="str" cm="1">
        <f t="array" aca="1" ref="C36" ca="1">IF($A36="","",_xlfn.XLOOKUP($A36,INDIRECT("Table1[Type gebouw]"),Table1[rekeneenheid]))</f>
        <v/>
      </c>
      <c r="D36" s="11"/>
      <c r="E36" s="5" t="str" cm="1">
        <f t="array" aca="1" ref="E36" ca="1">IF(A36="","",_xlfn.XLOOKUP($A36,INDIRECT("Table1[Type gebouw]"),Table1[Verwarmd]))</f>
        <v/>
      </c>
      <c r="F36" s="26"/>
      <c r="G36" s="16" t="str" cm="1">
        <f t="array" aca="1" ref="G36" ca="1">IF($A36="","",IF($E36=0,0,_xlfn.XLOOKUP($A36, INDIRECT("Table1[Type gebouw]"), CHOOSE(MATCH($D36, {"bodemwarmtepomp";"luchtwarmtepomp";"stadswarmte/gasketel"}, 0),
Table1[bodemwarmtepomp warmte], Table1[luchtwarmtepomp warmte], Table1[stadswarmte/gasketel warmte], "" ), "")*$B36/1000))</f>
        <v/>
      </c>
      <c r="H36" s="16" t="str" cm="1">
        <f t="array" aca="1" ref="H36" ca="1">IF($A36="","",IF($E36=0,0,_xlfn.XLOOKUP($A36, INDIRECT("Table1[Type gebouw]"), CHOOSE(MATCH($D36, {"bodemwarmtepomp";"luchtwarmtepomp";"stadswarmte/gasketel"}, 0),
Table1[bodemwarmtepomp koeling], Table1[luchtwarmtepomp koeling], Table1[Stadswarmte/gasketel koeling], "" ), "")*$B36/1000))</f>
        <v/>
      </c>
      <c r="I36" s="16" t="str" cm="1">
        <f t="array" aca="1" ref="I36" ca="1">IF($A36="","",_xlfn.XLOOKUP($A36,INDIRECT("Table1[Type gebouw]"),Table1[Verlichting])*$B36/1000)</f>
        <v/>
      </c>
      <c r="J36" s="16" t="str" cm="1">
        <f t="array" aca="1" ref="J36" ca="1">IF($A36="","",_xlfn.XLOOKUP($A36,INDIRECT("Table1[Type gebouw]"),Table1[Ventilatie])*$B36/1000)</f>
        <v/>
      </c>
      <c r="K36" s="16" t="str" cm="1">
        <f t="array" aca="1" ref="K36" ca="1">IF($A36="","",IF(AND(A36="parkeergarage onder woongebouw",B36&gt;1000),100,_xlfn.XLOOKUP($A36,INDIRECT("Table1[Type gebouw]"),Table1[gebruikersvoorzieningen])*$B36/1000))</f>
        <v/>
      </c>
      <c r="L36" s="16" t="str" cm="1">
        <f t="array" aca="1" ref="L36" ca="1">IF($A36="","",_xlfn.XLOOKUP($A36,INDIRECT("Table1[Type gebouw]"),Table1[Laadinfra])*$B36/1000)</f>
        <v/>
      </c>
      <c r="M36" s="14" t="str">
        <f t="shared" si="0"/>
        <v/>
      </c>
      <c r="N36" s="14" t="str">
        <f>IF($A36="","",_xlfn.XLOOKUP(M36/cos_phi,Aansluitcategorie!$A$4:$A$15,Aansluitcategorie!$B$4:$B$15,,1,1))</f>
        <v/>
      </c>
      <c r="O36" s="15" t="str" cm="1">
        <f t="array" aca="1" ref="O36" ca="1">IF($A36="","",_xlfn.XLOOKUP($A36,INDIRECT("Table1[Type gebouw]"),Table1[Opmerking]))</f>
        <v/>
      </c>
    </row>
    <row r="37" spans="1:15">
      <c r="A37" s="11"/>
      <c r="B37" s="12"/>
      <c r="C37" s="13" t="str" cm="1">
        <f t="array" aca="1" ref="C37" ca="1">IF($A37="","",_xlfn.XLOOKUP($A37,INDIRECT("Table1[Type gebouw]"),Table1[rekeneenheid]))</f>
        <v/>
      </c>
      <c r="D37" s="11"/>
      <c r="E37" s="4" t="str" cm="1">
        <f t="array" aca="1" ref="E37" ca="1">IF(A37="","",_xlfn.XLOOKUP($A37,INDIRECT("Table1[Type gebouw]"),Table1[Verwarmd]))</f>
        <v/>
      </c>
      <c r="F37" s="26"/>
      <c r="G37" s="16" t="str" cm="1">
        <f t="array" aca="1" ref="G37" ca="1">IF($A37="","",IF($E37=0,0,_xlfn.XLOOKUP($A37, INDIRECT("Table1[Type gebouw]"), CHOOSE(MATCH($D37, {"bodemwarmtepomp";"luchtwarmtepomp";"stadswarmte/gasketel"}, 0),
Table1[bodemwarmtepomp warmte], Table1[luchtwarmtepomp warmte], Table1[stadswarmte/gasketel warmte], "" ), "")*$B37/1000))</f>
        <v/>
      </c>
      <c r="H37" s="16" t="str" cm="1">
        <f t="array" aca="1" ref="H37" ca="1">IF($A37="","",IF($E37=0,0,_xlfn.XLOOKUP($A37, INDIRECT("Table1[Type gebouw]"), CHOOSE(MATCH($D37, {"bodemwarmtepomp";"luchtwarmtepomp";"stadswarmte/gasketel"}, 0),
Table1[bodemwarmtepomp koeling], Table1[luchtwarmtepomp koeling], Table1[Stadswarmte/gasketel koeling], "" ), "")*$B37/1000))</f>
        <v/>
      </c>
      <c r="I37" s="16" t="str" cm="1">
        <f t="array" aca="1" ref="I37" ca="1">IF($A37="","",_xlfn.XLOOKUP($A37,INDIRECT("Table1[Type gebouw]"),Table1[Verlichting])*$B37/1000)</f>
        <v/>
      </c>
      <c r="J37" s="16" t="str" cm="1">
        <f t="array" aca="1" ref="J37" ca="1">IF($A37="","",_xlfn.XLOOKUP($A37,INDIRECT("Table1[Type gebouw]"),Table1[Ventilatie])*$B37/1000)</f>
        <v/>
      </c>
      <c r="K37" s="16" t="str" cm="1">
        <f t="array" aca="1" ref="K37" ca="1">IF($A37="","",IF(AND(A37="parkeergarage onder woongebouw",B37&gt;1000),100,_xlfn.XLOOKUP($A37,INDIRECT("Table1[Type gebouw]"),Table1[gebruikersvoorzieningen])*$B37/1000))</f>
        <v/>
      </c>
      <c r="L37" s="16" t="str" cm="1">
        <f t="array" aca="1" ref="L37" ca="1">IF($A37="","",_xlfn.XLOOKUP($A37,INDIRECT("Table1[Type gebouw]"),Table1[Laadinfra])*$B37/1000)</f>
        <v/>
      </c>
      <c r="M37" s="14" t="str">
        <f t="shared" si="0"/>
        <v/>
      </c>
      <c r="N37" s="14" t="str">
        <f>IF($A37="","",_xlfn.XLOOKUP(M37/cos_phi,Aansluitcategorie!$A$4:$A$15,Aansluitcategorie!$B$4:$B$15,,1,1))</f>
        <v/>
      </c>
      <c r="O37" s="15" t="str" cm="1">
        <f t="array" aca="1" ref="O37" ca="1">IF($A37="","",_xlfn.XLOOKUP($A37,INDIRECT("Table1[Type gebouw]"),Table1[Opmerking]))</f>
        <v/>
      </c>
    </row>
    <row r="38" spans="1:15">
      <c r="A38" s="11"/>
      <c r="B38" s="12"/>
      <c r="C38" s="13" t="str" cm="1">
        <f t="array" aca="1" ref="C38" ca="1">IF($A38="","",_xlfn.XLOOKUP($A38,INDIRECT("Table1[Type gebouw]"),Table1[rekeneenheid]))</f>
        <v/>
      </c>
      <c r="D38" s="11"/>
      <c r="E38" s="4" t="str" cm="1">
        <f t="array" aca="1" ref="E38" ca="1">IF(A38="","",_xlfn.XLOOKUP($A38,INDIRECT("Table1[Type gebouw]"),Table1[Verwarmd]))</f>
        <v/>
      </c>
      <c r="F38" s="26"/>
      <c r="G38" s="16" t="str" cm="1">
        <f t="array" aca="1" ref="G38" ca="1">IF($A38="","",IF($E38=0,0,_xlfn.XLOOKUP($A38, INDIRECT("Table1[Type gebouw]"), CHOOSE(MATCH($D38, {"bodemwarmtepomp";"luchtwarmtepomp";"stadswarmte/gasketel"}, 0),
Table1[bodemwarmtepomp warmte], Table1[luchtwarmtepomp warmte], Table1[stadswarmte/gasketel warmte], "" ), "")*$B38/1000))</f>
        <v/>
      </c>
      <c r="H38" s="16" t="str" cm="1">
        <f t="array" aca="1" ref="H38" ca="1">IF($A38="","",IF($E38=0,0,_xlfn.XLOOKUP($A38, INDIRECT("Table1[Type gebouw]"), CHOOSE(MATCH($D38, {"bodemwarmtepomp";"luchtwarmtepomp";"stadswarmte/gasketel"}, 0),
Table1[bodemwarmtepomp koeling], Table1[luchtwarmtepomp koeling], Table1[Stadswarmte/gasketel koeling], "" ), "")*$B38/1000))</f>
        <v/>
      </c>
      <c r="I38" s="16" t="str" cm="1">
        <f t="array" aca="1" ref="I38" ca="1">IF($A38="","",_xlfn.XLOOKUP($A38,INDIRECT("Table1[Type gebouw]"),Table1[Verlichting])*$B38/1000)</f>
        <v/>
      </c>
      <c r="J38" s="16" t="str" cm="1">
        <f t="array" aca="1" ref="J38" ca="1">IF($A38="","",_xlfn.XLOOKUP($A38,INDIRECT("Table1[Type gebouw]"),Table1[Ventilatie])*$B38/1000)</f>
        <v/>
      </c>
      <c r="K38" s="16" t="str" cm="1">
        <f t="array" aca="1" ref="K38" ca="1">IF($A38="","",IF(AND(A38="parkeergarage onder woongebouw",B38&gt;1000),100,_xlfn.XLOOKUP($A38,INDIRECT("Table1[Type gebouw]"),Table1[gebruikersvoorzieningen])*$B38/1000))</f>
        <v/>
      </c>
      <c r="L38" s="16" t="str" cm="1">
        <f t="array" aca="1" ref="L38" ca="1">IF($A38="","",_xlfn.XLOOKUP($A38,INDIRECT("Table1[Type gebouw]"),Table1[Laadinfra])*$B38/1000)</f>
        <v/>
      </c>
      <c r="M38" s="14" t="str">
        <f t="shared" si="0"/>
        <v/>
      </c>
      <c r="N38" s="14" t="str">
        <f>IF($A38="","",_xlfn.XLOOKUP(M38/cos_phi,Aansluitcategorie!$A$4:$A$15,Aansluitcategorie!$B$4:$B$15,,1,1))</f>
        <v/>
      </c>
      <c r="O38" s="15" t="str" cm="1">
        <f t="array" aca="1" ref="O38" ca="1">IF($A38="","",_xlfn.XLOOKUP($A38,INDIRECT("Table1[Type gebouw]"),Table1[Opmerking]))</f>
        <v/>
      </c>
    </row>
    <row r="39" spans="1:15">
      <c r="A39" s="11"/>
      <c r="B39" s="12"/>
      <c r="C39" s="13" t="str" cm="1">
        <f t="array" aca="1" ref="C39" ca="1">IF($A39="","",_xlfn.XLOOKUP($A39,INDIRECT("Table1[Type gebouw]"),Table1[rekeneenheid]))</f>
        <v/>
      </c>
      <c r="D39" s="11"/>
      <c r="E39" s="4" t="str" cm="1">
        <f t="array" aca="1" ref="E39" ca="1">IF(A39="","",_xlfn.XLOOKUP($A39,INDIRECT("Table1[Type gebouw]"),Table1[Verwarmd]))</f>
        <v/>
      </c>
      <c r="F39" s="26"/>
      <c r="G39" s="16" t="str" cm="1">
        <f t="array" aca="1" ref="G39" ca="1">IF($A39="","",IF($E39=0,0,_xlfn.XLOOKUP($A39, INDIRECT("Table1[Type gebouw]"), CHOOSE(MATCH($D39, {"bodemwarmtepomp";"luchtwarmtepomp";"stadswarmte/gasketel"}, 0),
Table1[bodemwarmtepomp warmte], Table1[luchtwarmtepomp warmte], Table1[stadswarmte/gasketel warmte], "" ), "")*$B39/1000))</f>
        <v/>
      </c>
      <c r="H39" s="16" t="str" cm="1">
        <f t="array" aca="1" ref="H39" ca="1">IF($A39="","",IF($E39=0,0,_xlfn.XLOOKUP($A39, INDIRECT("Table1[Type gebouw]"), CHOOSE(MATCH($D39, {"bodemwarmtepomp";"luchtwarmtepomp";"stadswarmte/gasketel"}, 0),
Table1[bodemwarmtepomp koeling], Table1[luchtwarmtepomp koeling], Table1[Stadswarmte/gasketel koeling], "" ), "")*$B39/1000))</f>
        <v/>
      </c>
      <c r="I39" s="16" t="str" cm="1">
        <f t="array" aca="1" ref="I39" ca="1">IF($A39="","",_xlfn.XLOOKUP($A39,INDIRECT("Table1[Type gebouw]"),Table1[Verlichting])*$B39/1000)</f>
        <v/>
      </c>
      <c r="J39" s="16" t="str" cm="1">
        <f t="array" aca="1" ref="J39" ca="1">IF($A39="","",_xlfn.XLOOKUP($A39,INDIRECT("Table1[Type gebouw]"),Table1[Ventilatie])*$B39/1000)</f>
        <v/>
      </c>
      <c r="K39" s="16" t="str" cm="1">
        <f t="array" aca="1" ref="K39" ca="1">IF($A39="","",IF(AND(A39="parkeergarage onder woongebouw",B39&gt;1000),100,_xlfn.XLOOKUP($A39,INDIRECT("Table1[Type gebouw]"),Table1[gebruikersvoorzieningen])*$B39/1000))</f>
        <v/>
      </c>
      <c r="L39" s="16" t="str" cm="1">
        <f t="array" aca="1" ref="L39" ca="1">IF($A39="","",_xlfn.XLOOKUP($A39,INDIRECT("Table1[Type gebouw]"),Table1[Laadinfra])*$B39/1000)</f>
        <v/>
      </c>
      <c r="M39" s="14" t="str">
        <f t="shared" si="0"/>
        <v/>
      </c>
      <c r="N39" s="14" t="str">
        <f>IF($A39="","",_xlfn.XLOOKUP(M39/cos_phi,Aansluitcategorie!$A$4:$A$15,Aansluitcategorie!$B$4:$B$15,,1,1))</f>
        <v/>
      </c>
      <c r="O39" s="15" t="str" cm="1">
        <f t="array" aca="1" ref="O39" ca="1">IF($A39="","",_xlfn.XLOOKUP($A39,INDIRECT("Table1[Type gebouw]"),Table1[Opmerking]))</f>
        <v/>
      </c>
    </row>
    <row r="40" spans="1:15">
      <c r="A40" s="11"/>
      <c r="B40" s="12"/>
      <c r="C40" s="13" t="str" cm="1">
        <f t="array" aca="1" ref="C40" ca="1">IF($A40="","",_xlfn.XLOOKUP($A40,INDIRECT("Table1[Type gebouw]"),Table1[rekeneenheid]))</f>
        <v/>
      </c>
      <c r="D40" s="11"/>
      <c r="E40" s="4" t="str" cm="1">
        <f t="array" aca="1" ref="E40" ca="1">IF(A40="","",_xlfn.XLOOKUP($A40,INDIRECT("Table1[Type gebouw]"),Table1[Verwarmd]))</f>
        <v/>
      </c>
      <c r="F40" s="26"/>
      <c r="G40" s="16" t="str" cm="1">
        <f t="array" aca="1" ref="G40" ca="1">IF($A40="","",IF($E40=0,0,_xlfn.XLOOKUP($A40, INDIRECT("Table1[Type gebouw]"), CHOOSE(MATCH($D40, {"bodemwarmtepomp";"luchtwarmtepomp";"stadswarmte/gasketel"}, 0),
Table1[bodemwarmtepomp warmte], Table1[luchtwarmtepomp warmte], Table1[stadswarmte/gasketel warmte], "" ), "")*$B40/1000))</f>
        <v/>
      </c>
      <c r="H40" s="16" t="str" cm="1">
        <f t="array" aca="1" ref="H40" ca="1">IF($A40="","",IF($E40=0,0,_xlfn.XLOOKUP($A40, INDIRECT("Table1[Type gebouw]"), CHOOSE(MATCH($D40, {"bodemwarmtepomp";"luchtwarmtepomp";"stadswarmte/gasketel"}, 0),
Table1[bodemwarmtepomp koeling], Table1[luchtwarmtepomp koeling], Table1[Stadswarmte/gasketel koeling], "" ), "")*$B40/1000))</f>
        <v/>
      </c>
      <c r="I40" s="16" t="str" cm="1">
        <f t="array" aca="1" ref="I40" ca="1">IF($A40="","",_xlfn.XLOOKUP($A40,INDIRECT("Table1[Type gebouw]"),Table1[Verlichting])*$B40/1000)</f>
        <v/>
      </c>
      <c r="J40" s="16" t="str" cm="1">
        <f t="array" aca="1" ref="J40" ca="1">IF($A40="","",_xlfn.XLOOKUP($A40,INDIRECT("Table1[Type gebouw]"),Table1[Ventilatie])*$B40/1000)</f>
        <v/>
      </c>
      <c r="K40" s="16" t="str" cm="1">
        <f t="array" aca="1" ref="K40" ca="1">IF($A40="","",IF(AND(A40="parkeergarage onder woongebouw",B40&gt;1000),100,_xlfn.XLOOKUP($A40,INDIRECT("Table1[Type gebouw]"),Table1[gebruikersvoorzieningen])*$B40/1000))</f>
        <v/>
      </c>
      <c r="L40" s="16" t="str" cm="1">
        <f t="array" aca="1" ref="L40" ca="1">IF($A40="","",_xlfn.XLOOKUP($A40,INDIRECT("Table1[Type gebouw]"),Table1[Laadinfra])*$B40/1000)</f>
        <v/>
      </c>
      <c r="M40" s="14" t="str">
        <f t="shared" si="0"/>
        <v/>
      </c>
      <c r="N40" s="14" t="str">
        <f>IF($A40="","",_xlfn.XLOOKUP(M40/cos_phi,Aansluitcategorie!$A$4:$A$15,Aansluitcategorie!$B$4:$B$15,,1,1))</f>
        <v/>
      </c>
      <c r="O40" s="15" t="str" cm="1">
        <f t="array" aca="1" ref="O40" ca="1">IF($A40="","",_xlfn.XLOOKUP($A40,INDIRECT("Table1[Type gebouw]"),Table1[Opmerking]))</f>
        <v/>
      </c>
    </row>
    <row r="41" spans="1:15">
      <c r="A41" s="11"/>
      <c r="B41" s="12"/>
      <c r="C41" s="13" t="str" cm="1">
        <f t="array" aca="1" ref="C41" ca="1">IF($A41="","",_xlfn.XLOOKUP($A41,INDIRECT("Table1[Type gebouw]"),Table1[rekeneenheid]))</f>
        <v/>
      </c>
      <c r="D41" s="11"/>
      <c r="E41" s="4" t="str" cm="1">
        <f t="array" aca="1" ref="E41" ca="1">IF(A41="","",_xlfn.XLOOKUP($A41,INDIRECT("Table1[Type gebouw]"),Table1[Verwarmd]))</f>
        <v/>
      </c>
      <c r="F41" s="26"/>
      <c r="G41" s="16" t="str" cm="1">
        <f t="array" aca="1" ref="G41" ca="1">IF($A41="","",IF($E41=0,0,_xlfn.XLOOKUP($A41, INDIRECT("Table1[Type gebouw]"), CHOOSE(MATCH($D41, {"bodemwarmtepomp";"luchtwarmtepomp";"stadswarmte/gasketel"}, 0),
Table1[bodemwarmtepomp warmte], Table1[luchtwarmtepomp warmte], Table1[stadswarmte/gasketel warmte], "" ), "")*$B41/1000))</f>
        <v/>
      </c>
      <c r="H41" s="16" t="str" cm="1">
        <f t="array" aca="1" ref="H41" ca="1">IF($A41="","",IF($E41=0,0,_xlfn.XLOOKUP($A41, INDIRECT("Table1[Type gebouw]"), CHOOSE(MATCH($D41, {"bodemwarmtepomp";"luchtwarmtepomp";"stadswarmte/gasketel"}, 0),
Table1[bodemwarmtepomp koeling], Table1[luchtwarmtepomp koeling], Table1[Stadswarmte/gasketel koeling], "" ), "")*$B41/1000))</f>
        <v/>
      </c>
      <c r="I41" s="16" t="str" cm="1">
        <f t="array" aca="1" ref="I41" ca="1">IF($A41="","",_xlfn.XLOOKUP($A41,INDIRECT("Table1[Type gebouw]"),Table1[Verlichting])*$B41/1000)</f>
        <v/>
      </c>
      <c r="J41" s="16" t="str" cm="1">
        <f t="array" aca="1" ref="J41" ca="1">IF($A41="","",_xlfn.XLOOKUP($A41,INDIRECT("Table1[Type gebouw]"),Table1[Ventilatie])*$B41/1000)</f>
        <v/>
      </c>
      <c r="K41" s="16" t="str" cm="1">
        <f t="array" aca="1" ref="K41" ca="1">IF($A41="","",IF(AND(A41="parkeergarage onder woongebouw",B41&gt;1000),100,_xlfn.XLOOKUP($A41,INDIRECT("Table1[Type gebouw]"),Table1[gebruikersvoorzieningen])*$B41/1000))</f>
        <v/>
      </c>
      <c r="L41" s="16" t="str" cm="1">
        <f t="array" aca="1" ref="L41" ca="1">IF($A41="","",_xlfn.XLOOKUP($A41,INDIRECT("Table1[Type gebouw]"),Table1[Laadinfra])*$B41/1000)</f>
        <v/>
      </c>
      <c r="M41" s="14" t="str">
        <f t="shared" si="0"/>
        <v/>
      </c>
      <c r="N41" s="14" t="str">
        <f>IF($A41="","",_xlfn.XLOOKUP(M41/cos_phi,Aansluitcategorie!$A$4:$A$15,Aansluitcategorie!$B$4:$B$15,,1,1))</f>
        <v/>
      </c>
      <c r="O41" s="15" t="str" cm="1">
        <f t="array" aca="1" ref="O41" ca="1">IF($A41="","",_xlfn.XLOOKUP($A41,INDIRECT("Table1[Type gebouw]"),Table1[Opmerking]))</f>
        <v/>
      </c>
    </row>
    <row r="42" spans="1:15">
      <c r="A42" s="11"/>
      <c r="B42" s="12"/>
      <c r="C42" s="13" t="str" cm="1">
        <f t="array" aca="1" ref="C42" ca="1">IF($A42="","",_xlfn.XLOOKUP($A42,INDIRECT("Table1[Type gebouw]"),Table1[rekeneenheid]))</f>
        <v/>
      </c>
      <c r="D42" s="11"/>
      <c r="E42" s="4" t="str" cm="1">
        <f t="array" aca="1" ref="E42" ca="1">IF(A42="","",_xlfn.XLOOKUP($A42,INDIRECT("Table1[Type gebouw]"),Table1[Verwarmd]))</f>
        <v/>
      </c>
      <c r="F42" s="26"/>
      <c r="G42" s="16" t="str" cm="1">
        <f t="array" aca="1" ref="G42" ca="1">IF($A42="","",IF($E42=0,0,_xlfn.XLOOKUP($A42, INDIRECT("Table1[Type gebouw]"), CHOOSE(MATCH($D42, {"bodemwarmtepomp";"luchtwarmtepomp";"stadswarmte/gasketel"}, 0),
Table1[bodemwarmtepomp warmte], Table1[luchtwarmtepomp warmte], Table1[stadswarmte/gasketel warmte], "" ), "")*$B42/1000))</f>
        <v/>
      </c>
      <c r="H42" s="16" t="str" cm="1">
        <f t="array" aca="1" ref="H42" ca="1">IF($A42="","",IF($E42=0,0,_xlfn.XLOOKUP($A42, INDIRECT("Table1[Type gebouw]"), CHOOSE(MATCH($D42, {"bodemwarmtepomp";"luchtwarmtepomp";"stadswarmte/gasketel"}, 0),
Table1[bodemwarmtepomp koeling], Table1[luchtwarmtepomp koeling], Table1[Stadswarmte/gasketel koeling], "" ), "")*$B42/1000))</f>
        <v/>
      </c>
      <c r="I42" s="16" t="str" cm="1">
        <f t="array" aca="1" ref="I42" ca="1">IF($A42="","",_xlfn.XLOOKUP($A42,INDIRECT("Table1[Type gebouw]"),Table1[Verlichting])*$B42/1000)</f>
        <v/>
      </c>
      <c r="J42" s="16" t="str" cm="1">
        <f t="array" aca="1" ref="J42" ca="1">IF($A42="","",_xlfn.XLOOKUP($A42,INDIRECT("Table1[Type gebouw]"),Table1[Ventilatie])*$B42/1000)</f>
        <v/>
      </c>
      <c r="K42" s="16" t="str" cm="1">
        <f t="array" aca="1" ref="K42" ca="1">IF($A42="","",IF(AND(A42="parkeergarage onder woongebouw",B42&gt;1000),100,_xlfn.XLOOKUP($A42,INDIRECT("Table1[Type gebouw]"),Table1[gebruikersvoorzieningen])*$B42/1000))</f>
        <v/>
      </c>
      <c r="L42" s="16" t="str" cm="1">
        <f t="array" aca="1" ref="L42" ca="1">IF($A42="","",_xlfn.XLOOKUP($A42,INDIRECT("Table1[Type gebouw]"),Table1[Laadinfra])*$B42/1000)</f>
        <v/>
      </c>
      <c r="M42" s="14" t="str">
        <f t="shared" si="0"/>
        <v/>
      </c>
      <c r="N42" s="14" t="str">
        <f>IF($A42="","",_xlfn.XLOOKUP(M42/cos_phi,Aansluitcategorie!$A$4:$A$15,Aansluitcategorie!$B$4:$B$15,,1,1))</f>
        <v/>
      </c>
      <c r="O42" s="15" t="str" cm="1">
        <f t="array" aca="1" ref="O42" ca="1">IF($A42="","",_xlfn.XLOOKUP($A42,INDIRECT("Table1[Type gebouw]"),Table1[Opmerking]))</f>
        <v/>
      </c>
    </row>
    <row r="43" spans="1:15">
      <c r="A43" s="11"/>
      <c r="B43" s="12"/>
      <c r="C43" s="13" t="str" cm="1">
        <f t="array" aca="1" ref="C43" ca="1">IF($A43="","",_xlfn.XLOOKUP($A43,INDIRECT("Table1[Type gebouw]"),Table1[rekeneenheid]))</f>
        <v/>
      </c>
      <c r="D43" s="11"/>
      <c r="E43" s="4" t="str" cm="1">
        <f t="array" aca="1" ref="E43" ca="1">IF(A43="","",_xlfn.XLOOKUP($A43,INDIRECT("Table1[Type gebouw]"),Table1[Verwarmd]))</f>
        <v/>
      </c>
      <c r="F43" s="26"/>
      <c r="G43" s="16" t="str" cm="1">
        <f t="array" aca="1" ref="G43" ca="1">IF($A43="","",IF($E43=0,0,_xlfn.XLOOKUP($A43, INDIRECT("Table1[Type gebouw]"), CHOOSE(MATCH($D43, {"bodemwarmtepomp";"luchtwarmtepomp";"stadswarmte/gasketel"}, 0),
Table1[bodemwarmtepomp warmte], Table1[luchtwarmtepomp warmte], Table1[stadswarmte/gasketel warmte], "" ), "")*$B43/1000))</f>
        <v/>
      </c>
      <c r="H43" s="16" t="str" cm="1">
        <f t="array" aca="1" ref="H43" ca="1">IF($A43="","",IF($E43=0,0,_xlfn.XLOOKUP($A43, INDIRECT("Table1[Type gebouw]"), CHOOSE(MATCH($D43, {"bodemwarmtepomp";"luchtwarmtepomp";"stadswarmte/gasketel"}, 0),
Table1[bodemwarmtepomp koeling], Table1[luchtwarmtepomp koeling], Table1[Stadswarmte/gasketel koeling], "" ), "")*$B43/1000))</f>
        <v/>
      </c>
      <c r="I43" s="16" t="str" cm="1">
        <f t="array" aca="1" ref="I43" ca="1">IF($A43="","",_xlfn.XLOOKUP($A43,INDIRECT("Table1[Type gebouw]"),Table1[Verlichting])*$B43/1000)</f>
        <v/>
      </c>
      <c r="J43" s="16" t="str" cm="1">
        <f t="array" aca="1" ref="J43" ca="1">IF($A43="","",_xlfn.XLOOKUP($A43,INDIRECT("Table1[Type gebouw]"),Table1[Ventilatie])*$B43/1000)</f>
        <v/>
      </c>
      <c r="K43" s="16" t="str" cm="1">
        <f t="array" aca="1" ref="K43" ca="1">IF($A43="","",IF(AND(A43="parkeergarage onder woongebouw",B43&gt;1000),100,_xlfn.XLOOKUP($A43,INDIRECT("Table1[Type gebouw]"),Table1[gebruikersvoorzieningen])*$B43/1000))</f>
        <v/>
      </c>
      <c r="L43" s="16" t="str" cm="1">
        <f t="array" aca="1" ref="L43" ca="1">IF($A43="","",_xlfn.XLOOKUP($A43,INDIRECT("Table1[Type gebouw]"),Table1[Laadinfra])*$B43/1000)</f>
        <v/>
      </c>
      <c r="M43" s="14" t="str">
        <f t="shared" si="0"/>
        <v/>
      </c>
      <c r="N43" s="14" t="str">
        <f>IF($A43="","",_xlfn.XLOOKUP(M43/cos_phi,Aansluitcategorie!$A$4:$A$15,Aansluitcategorie!$B$4:$B$15,,1,1))</f>
        <v/>
      </c>
      <c r="O43" s="15" t="str" cm="1">
        <f t="array" aca="1" ref="O43" ca="1">IF($A43="","",_xlfn.XLOOKUP($A43,INDIRECT("Table1[Type gebouw]"),Table1[Opmerking]))</f>
        <v/>
      </c>
    </row>
    <row r="44" spans="1:15">
      <c r="A44" s="11"/>
      <c r="B44" s="12"/>
      <c r="C44" s="13" t="str" cm="1">
        <f t="array" aca="1" ref="C44" ca="1">IF($A44="","",_xlfn.XLOOKUP($A44,INDIRECT("Table1[Type gebouw]"),Table1[rekeneenheid]))</f>
        <v/>
      </c>
      <c r="D44" s="11"/>
      <c r="E44" s="4" t="str" cm="1">
        <f t="array" aca="1" ref="E44" ca="1">IF(A44="","",_xlfn.XLOOKUP($A44,INDIRECT("Table1[Type gebouw]"),Table1[Verwarmd]))</f>
        <v/>
      </c>
      <c r="F44" s="26"/>
      <c r="G44" s="16" t="str" cm="1">
        <f t="array" aca="1" ref="G44" ca="1">IF($A44="","",IF($E44=0,0,_xlfn.XLOOKUP($A44, INDIRECT("Table1[Type gebouw]"), CHOOSE(MATCH($D44, {"bodemwarmtepomp";"luchtwarmtepomp";"stadswarmte/gasketel"}, 0),
Table1[bodemwarmtepomp warmte], Table1[luchtwarmtepomp warmte], Table1[stadswarmte/gasketel warmte], "" ), "")*$B44/1000))</f>
        <v/>
      </c>
      <c r="H44" s="16" t="str" cm="1">
        <f t="array" aca="1" ref="H44" ca="1">IF($A44="","",IF($E44=0,0,_xlfn.XLOOKUP($A44, INDIRECT("Table1[Type gebouw]"), CHOOSE(MATCH($D44, {"bodemwarmtepomp";"luchtwarmtepomp";"stadswarmte/gasketel"}, 0),
Table1[bodemwarmtepomp koeling], Table1[luchtwarmtepomp koeling], Table1[Stadswarmte/gasketel koeling], "" ), "")*$B44/1000))</f>
        <v/>
      </c>
      <c r="I44" s="16" t="str" cm="1">
        <f t="array" aca="1" ref="I44" ca="1">IF($A44="","",_xlfn.XLOOKUP($A44,INDIRECT("Table1[Type gebouw]"),Table1[Verlichting])*$B44/1000)</f>
        <v/>
      </c>
      <c r="J44" s="16" t="str" cm="1">
        <f t="array" aca="1" ref="J44" ca="1">IF($A44="","",_xlfn.XLOOKUP($A44,INDIRECT("Table1[Type gebouw]"),Table1[Ventilatie])*$B44/1000)</f>
        <v/>
      </c>
      <c r="K44" s="16" t="str" cm="1">
        <f t="array" aca="1" ref="K44" ca="1">IF($A44="","",IF(AND(A44="parkeergarage onder woongebouw",B44&gt;1000),100,_xlfn.XLOOKUP($A44,INDIRECT("Table1[Type gebouw]"),Table1[gebruikersvoorzieningen])*$B44/1000))</f>
        <v/>
      </c>
      <c r="L44" s="16" t="str" cm="1">
        <f t="array" aca="1" ref="L44" ca="1">IF($A44="","",_xlfn.XLOOKUP($A44,INDIRECT("Table1[Type gebouw]"),Table1[Laadinfra])*$B44/1000)</f>
        <v/>
      </c>
      <c r="M44" s="14" t="str">
        <f t="shared" si="0"/>
        <v/>
      </c>
      <c r="N44" s="14" t="str">
        <f>IF($A44="","",_xlfn.XLOOKUP(M44/cos_phi,Aansluitcategorie!$A$4:$A$15,Aansluitcategorie!$B$4:$B$15,,1,1))</f>
        <v/>
      </c>
      <c r="O44" s="15" t="str" cm="1">
        <f t="array" aca="1" ref="O44" ca="1">IF($A44="","",_xlfn.XLOOKUP($A44,INDIRECT("Table1[Type gebouw]"),Table1[Opmerking]))</f>
        <v/>
      </c>
    </row>
    <row r="45" spans="1:15">
      <c r="A45" s="11"/>
      <c r="B45" s="12"/>
      <c r="C45" s="13" t="str" cm="1">
        <f t="array" aca="1" ref="C45" ca="1">IF($A45="","",_xlfn.XLOOKUP($A45,INDIRECT("Table1[Type gebouw]"),Table1[rekeneenheid]))</f>
        <v/>
      </c>
      <c r="D45" s="11"/>
      <c r="E45" s="4" t="str" cm="1">
        <f t="array" aca="1" ref="E45" ca="1">IF(A45="","",_xlfn.XLOOKUP($A45,INDIRECT("Table1[Type gebouw]"),Table1[Verwarmd]))</f>
        <v/>
      </c>
      <c r="F45" s="26"/>
      <c r="G45" s="16" t="str" cm="1">
        <f t="array" aca="1" ref="G45" ca="1">IF($A45="","",IF($E45=0,0,_xlfn.XLOOKUP($A45, INDIRECT("Table1[Type gebouw]"), CHOOSE(MATCH($D45, {"bodemwarmtepomp";"luchtwarmtepomp";"stadswarmte/gasketel"}, 0),
Table1[bodemwarmtepomp warmte], Table1[luchtwarmtepomp warmte], Table1[stadswarmte/gasketel warmte], "" ), "")*$B45/1000))</f>
        <v/>
      </c>
      <c r="H45" s="16" t="str" cm="1">
        <f t="array" aca="1" ref="H45" ca="1">IF($A45="","",IF($E45=0,0,_xlfn.XLOOKUP($A45, INDIRECT("Table1[Type gebouw]"), CHOOSE(MATCH($D45, {"bodemwarmtepomp";"luchtwarmtepomp";"stadswarmte/gasketel"}, 0),
Table1[bodemwarmtepomp koeling], Table1[luchtwarmtepomp koeling], Table1[Stadswarmte/gasketel koeling], "" ), "")*$B45/1000))</f>
        <v/>
      </c>
      <c r="I45" s="16" t="str" cm="1">
        <f t="array" aca="1" ref="I45" ca="1">IF($A45="","",_xlfn.XLOOKUP($A45,INDIRECT("Table1[Type gebouw]"),Table1[Verlichting])*$B45/1000)</f>
        <v/>
      </c>
      <c r="J45" s="16" t="str" cm="1">
        <f t="array" aca="1" ref="J45" ca="1">IF($A45="","",_xlfn.XLOOKUP($A45,INDIRECT("Table1[Type gebouw]"),Table1[Ventilatie])*$B45/1000)</f>
        <v/>
      </c>
      <c r="K45" s="16" t="str" cm="1">
        <f t="array" aca="1" ref="K45" ca="1">IF($A45="","",IF(AND(A45="parkeergarage onder woongebouw",B45&gt;1000),100,_xlfn.XLOOKUP($A45,INDIRECT("Table1[Type gebouw]"),Table1[gebruikersvoorzieningen])*$B45/1000))</f>
        <v/>
      </c>
      <c r="L45" s="16" t="str" cm="1">
        <f t="array" aca="1" ref="L45" ca="1">IF($A45="","",_xlfn.XLOOKUP($A45,INDIRECT("Table1[Type gebouw]"),Table1[Laadinfra])*$B45/1000)</f>
        <v/>
      </c>
      <c r="M45" s="14" t="str">
        <f t="shared" si="0"/>
        <v/>
      </c>
      <c r="N45" s="14" t="str">
        <f>IF($A45="","",_xlfn.XLOOKUP(M45/cos_phi,Aansluitcategorie!$A$4:$A$15,Aansluitcategorie!$B$4:$B$15,,1,1))</f>
        <v/>
      </c>
      <c r="O45" s="15" t="str" cm="1">
        <f t="array" aca="1" ref="O45" ca="1">IF($A45="","",_xlfn.XLOOKUP($A45,INDIRECT("Table1[Type gebouw]"),Table1[Opmerking]))</f>
        <v/>
      </c>
    </row>
    <row r="46" spans="1:15">
      <c r="A46" s="11"/>
      <c r="B46" s="12"/>
      <c r="C46" s="13" t="str" cm="1">
        <f t="array" aca="1" ref="C46" ca="1">IF($A46="","",_xlfn.XLOOKUP($A46,INDIRECT("Table1[Type gebouw]"),Table1[rekeneenheid]))</f>
        <v/>
      </c>
      <c r="D46" s="11"/>
      <c r="E46" s="4" t="str" cm="1">
        <f t="array" aca="1" ref="E46" ca="1">IF(A46="","",_xlfn.XLOOKUP($A46,INDIRECT("Table1[Type gebouw]"),Table1[Verwarmd]))</f>
        <v/>
      </c>
      <c r="F46" s="26"/>
      <c r="G46" s="16" t="str" cm="1">
        <f t="array" aca="1" ref="G46" ca="1">IF($A46="","",IF($E46=0,0,_xlfn.XLOOKUP($A46, INDIRECT("Table1[Type gebouw]"), CHOOSE(MATCH($D46, {"bodemwarmtepomp";"luchtwarmtepomp";"stadswarmte/gasketel"}, 0),
Table1[bodemwarmtepomp warmte], Table1[luchtwarmtepomp warmte], Table1[stadswarmte/gasketel warmte], "" ), "")*$B46/1000))</f>
        <v/>
      </c>
      <c r="H46" s="16" t="str" cm="1">
        <f t="array" aca="1" ref="H46" ca="1">IF($A46="","",IF($E46=0,0,_xlfn.XLOOKUP($A46, INDIRECT("Table1[Type gebouw]"), CHOOSE(MATCH($D46, {"bodemwarmtepomp";"luchtwarmtepomp";"stadswarmte/gasketel"}, 0),
Table1[bodemwarmtepomp koeling], Table1[luchtwarmtepomp koeling], Table1[Stadswarmte/gasketel koeling], "" ), "")*$B46/1000))</f>
        <v/>
      </c>
      <c r="I46" s="16" t="str" cm="1">
        <f t="array" aca="1" ref="I46" ca="1">IF($A46="","",_xlfn.XLOOKUP($A46,INDIRECT("Table1[Type gebouw]"),Table1[Verlichting])*$B46/1000)</f>
        <v/>
      </c>
      <c r="J46" s="16" t="str" cm="1">
        <f t="array" aca="1" ref="J46" ca="1">IF($A46="","",_xlfn.XLOOKUP($A46,INDIRECT("Table1[Type gebouw]"),Table1[Ventilatie])*$B46/1000)</f>
        <v/>
      </c>
      <c r="K46" s="16" t="str" cm="1">
        <f t="array" aca="1" ref="K46" ca="1">IF($A46="","",IF(AND(A46="parkeergarage onder woongebouw",B46&gt;1000),100,_xlfn.XLOOKUP($A46,INDIRECT("Table1[Type gebouw]"),Table1[gebruikersvoorzieningen])*$B46/1000))</f>
        <v/>
      </c>
      <c r="L46" s="16" t="str" cm="1">
        <f t="array" aca="1" ref="L46" ca="1">IF($A46="","",_xlfn.XLOOKUP($A46,INDIRECT("Table1[Type gebouw]"),Table1[Laadinfra])*$B46/1000)</f>
        <v/>
      </c>
      <c r="M46" s="14" t="str">
        <f t="shared" si="0"/>
        <v/>
      </c>
      <c r="N46" s="14" t="str">
        <f>IF($A46="","",_xlfn.XLOOKUP(M46/cos_phi,Aansluitcategorie!$A$4:$A$15,Aansluitcategorie!$B$4:$B$15,,1,1))</f>
        <v/>
      </c>
      <c r="O46" s="15" t="str" cm="1">
        <f t="array" aca="1" ref="O46" ca="1">IF($A46="","",_xlfn.XLOOKUP($A46,INDIRECT("Table1[Type gebouw]"),Table1[Opmerking]))</f>
        <v/>
      </c>
    </row>
    <row r="47" spans="1:15">
      <c r="A47" s="11"/>
      <c r="B47" s="12"/>
      <c r="C47" s="13" t="str" cm="1">
        <f t="array" aca="1" ref="C47" ca="1">IF($A47="","",_xlfn.XLOOKUP($A47,INDIRECT("Table1[Type gebouw]"),Table1[rekeneenheid]))</f>
        <v/>
      </c>
      <c r="D47" s="11"/>
      <c r="E47" s="4" t="str" cm="1">
        <f t="array" aca="1" ref="E47" ca="1">IF(A47="","",_xlfn.XLOOKUP($A47,INDIRECT("Table1[Type gebouw]"),Table1[Verwarmd]))</f>
        <v/>
      </c>
      <c r="F47" s="26"/>
      <c r="G47" s="16" t="str" cm="1">
        <f t="array" aca="1" ref="G47" ca="1">IF($A47="","",IF($E47=0,0,_xlfn.XLOOKUP($A47, INDIRECT("Table1[Type gebouw]"), CHOOSE(MATCH($D47, {"bodemwarmtepomp";"luchtwarmtepomp";"stadswarmte/gasketel"}, 0),
Table1[bodemwarmtepomp warmte], Table1[luchtwarmtepomp warmte], Table1[stadswarmte/gasketel warmte], "" ), "")*$B47/1000))</f>
        <v/>
      </c>
      <c r="H47" s="16" t="str" cm="1">
        <f t="array" aca="1" ref="H47" ca="1">IF($A47="","",IF($E47=0,0,_xlfn.XLOOKUP($A47, INDIRECT("Table1[Type gebouw]"), CHOOSE(MATCH($D47, {"bodemwarmtepomp";"luchtwarmtepomp";"stadswarmte/gasketel"}, 0),
Table1[bodemwarmtepomp koeling], Table1[luchtwarmtepomp koeling], Table1[Stadswarmte/gasketel koeling], "" ), "")*$B47/1000))</f>
        <v/>
      </c>
      <c r="I47" s="16" t="str" cm="1">
        <f t="array" aca="1" ref="I47" ca="1">IF($A47="","",_xlfn.XLOOKUP($A47,INDIRECT("Table1[Type gebouw]"),Table1[Verlichting])*$B47/1000)</f>
        <v/>
      </c>
      <c r="J47" s="16" t="str" cm="1">
        <f t="array" aca="1" ref="J47" ca="1">IF($A47="","",_xlfn.XLOOKUP($A47,INDIRECT("Table1[Type gebouw]"),Table1[Ventilatie])*$B47/1000)</f>
        <v/>
      </c>
      <c r="K47" s="16" t="str" cm="1">
        <f t="array" aca="1" ref="K47" ca="1">IF($A47="","",IF(AND(A47="parkeergarage onder woongebouw",B47&gt;1000),100,_xlfn.XLOOKUP($A47,INDIRECT("Table1[Type gebouw]"),Table1[gebruikersvoorzieningen])*$B47/1000))</f>
        <v/>
      </c>
      <c r="L47" s="16" t="str" cm="1">
        <f t="array" aca="1" ref="L47" ca="1">IF($A47="","",_xlfn.XLOOKUP($A47,INDIRECT("Table1[Type gebouw]"),Table1[Laadinfra])*$B47/1000)</f>
        <v/>
      </c>
      <c r="M47" s="14" t="str">
        <f t="shared" si="0"/>
        <v/>
      </c>
      <c r="N47" s="14" t="str">
        <f>IF($A47="","",_xlfn.XLOOKUP(M47/cos_phi,Aansluitcategorie!$A$4:$A$15,Aansluitcategorie!$B$4:$B$15,,1,1))</f>
        <v/>
      </c>
      <c r="O47" s="15" t="str" cm="1">
        <f t="array" aca="1" ref="O47" ca="1">IF($A47="","",_xlfn.XLOOKUP($A47,INDIRECT("Table1[Type gebouw]"),Table1[Opmerking]))</f>
        <v/>
      </c>
    </row>
    <row r="48" spans="1:15">
      <c r="A48" s="11"/>
      <c r="B48" s="12"/>
      <c r="C48" s="13" t="str" cm="1">
        <f t="array" aca="1" ref="C48" ca="1">IF($A48="","",_xlfn.XLOOKUP($A48,INDIRECT("Table1[Type gebouw]"),Table1[rekeneenheid]))</f>
        <v/>
      </c>
      <c r="D48" s="11"/>
      <c r="E48" s="4" t="str" cm="1">
        <f t="array" aca="1" ref="E48" ca="1">IF(A48="","",_xlfn.XLOOKUP($A48,INDIRECT("Table1[Type gebouw]"),Table1[Verwarmd]))</f>
        <v/>
      </c>
      <c r="F48" s="26"/>
      <c r="G48" s="16" t="str" cm="1">
        <f t="array" aca="1" ref="G48" ca="1">IF($A48="","",IF($E48=0,0,_xlfn.XLOOKUP($A48, INDIRECT("Table1[Type gebouw]"), CHOOSE(MATCH($D48, {"bodemwarmtepomp";"luchtwarmtepomp";"stadswarmte/gasketel"}, 0),
Table1[bodemwarmtepomp warmte], Table1[luchtwarmtepomp warmte], Table1[stadswarmte/gasketel warmte], "" ), "")*$B48/1000))</f>
        <v/>
      </c>
      <c r="H48" s="16" t="str" cm="1">
        <f t="array" aca="1" ref="H48" ca="1">IF($A48="","",IF($E48=0,0,_xlfn.XLOOKUP($A48, INDIRECT("Table1[Type gebouw]"), CHOOSE(MATCH($D48, {"bodemwarmtepomp";"luchtwarmtepomp";"stadswarmte/gasketel"}, 0),
Table1[bodemwarmtepomp koeling], Table1[luchtwarmtepomp koeling], Table1[Stadswarmte/gasketel koeling], "" ), "")*$B48/1000))</f>
        <v/>
      </c>
      <c r="I48" s="16" t="str" cm="1">
        <f t="array" aca="1" ref="I48" ca="1">IF($A48="","",_xlfn.XLOOKUP($A48,INDIRECT("Table1[Type gebouw]"),Table1[Verlichting])*$B48/1000)</f>
        <v/>
      </c>
      <c r="J48" s="16" t="str" cm="1">
        <f t="array" aca="1" ref="J48" ca="1">IF($A48="","",_xlfn.XLOOKUP($A48,INDIRECT("Table1[Type gebouw]"),Table1[Ventilatie])*$B48/1000)</f>
        <v/>
      </c>
      <c r="K48" s="16" t="str" cm="1">
        <f t="array" aca="1" ref="K48" ca="1">IF($A48="","",IF(AND(A48="parkeergarage onder woongebouw",B48&gt;1000),100,_xlfn.XLOOKUP($A48,INDIRECT("Table1[Type gebouw]"),Table1[gebruikersvoorzieningen])*$B48/1000))</f>
        <v/>
      </c>
      <c r="L48" s="16" t="str" cm="1">
        <f t="array" aca="1" ref="L48" ca="1">IF($A48="","",_xlfn.XLOOKUP($A48,INDIRECT("Table1[Type gebouw]"),Table1[Laadinfra])*$B48/1000)</f>
        <v/>
      </c>
      <c r="M48" s="14" t="str">
        <f t="shared" si="0"/>
        <v/>
      </c>
      <c r="N48" s="14" t="str">
        <f>IF($A48="","",_xlfn.XLOOKUP(M48/cos_phi,Aansluitcategorie!$A$4:$A$15,Aansluitcategorie!$B$4:$B$15,,1,1))</f>
        <v/>
      </c>
      <c r="O48" s="15" t="str" cm="1">
        <f t="array" aca="1" ref="O48" ca="1">IF($A48="","",_xlfn.XLOOKUP($A48,INDIRECT("Table1[Type gebouw]"),Table1[Opmerking]))</f>
        <v/>
      </c>
    </row>
    <row r="49" spans="1:15">
      <c r="A49" s="11"/>
      <c r="B49" s="12"/>
      <c r="C49" s="13" t="str" cm="1">
        <f t="array" aca="1" ref="C49" ca="1">IF($A49="","",_xlfn.XLOOKUP($A49,INDIRECT("Table1[Type gebouw]"),Table1[rekeneenheid]))</f>
        <v/>
      </c>
      <c r="D49" s="11"/>
      <c r="E49" s="4" t="str" cm="1">
        <f t="array" aca="1" ref="E49" ca="1">IF(A49="","",_xlfn.XLOOKUP($A49,INDIRECT("Table1[Type gebouw]"),Table1[Verwarmd]))</f>
        <v/>
      </c>
      <c r="F49" s="26"/>
      <c r="G49" s="16" t="str" cm="1">
        <f t="array" aca="1" ref="G49" ca="1">IF($A49="","",IF($E49=0,0,_xlfn.XLOOKUP($A49, INDIRECT("Table1[Type gebouw]"), CHOOSE(MATCH($D49, {"bodemwarmtepomp";"luchtwarmtepomp";"stadswarmte/gasketel"}, 0),
Table1[bodemwarmtepomp warmte], Table1[luchtwarmtepomp warmte], Table1[stadswarmte/gasketel warmte], "" ), "")*$B49/1000))</f>
        <v/>
      </c>
      <c r="H49" s="16" t="str" cm="1">
        <f t="array" aca="1" ref="H49" ca="1">IF($A49="","",IF($E49=0,0,_xlfn.XLOOKUP($A49, INDIRECT("Table1[Type gebouw]"), CHOOSE(MATCH($D49, {"bodemwarmtepomp";"luchtwarmtepomp";"stadswarmte/gasketel"}, 0),
Table1[bodemwarmtepomp koeling], Table1[luchtwarmtepomp koeling], Table1[Stadswarmte/gasketel koeling], "" ), "")*$B49/1000))</f>
        <v/>
      </c>
      <c r="I49" s="16" t="str" cm="1">
        <f t="array" aca="1" ref="I49" ca="1">IF($A49="","",_xlfn.XLOOKUP($A49,INDIRECT("Table1[Type gebouw]"),Table1[Verlichting])*$B49/1000)</f>
        <v/>
      </c>
      <c r="J49" s="16" t="str" cm="1">
        <f t="array" aca="1" ref="J49" ca="1">IF($A49="","",_xlfn.XLOOKUP($A49,INDIRECT("Table1[Type gebouw]"),Table1[Ventilatie])*$B49/1000)</f>
        <v/>
      </c>
      <c r="K49" s="16" t="str" cm="1">
        <f t="array" aca="1" ref="K49" ca="1">IF($A49="","",IF(AND(A49="parkeergarage onder woongebouw",B49&gt;1000),100,_xlfn.XLOOKUP($A49,INDIRECT("Table1[Type gebouw]"),Table1[gebruikersvoorzieningen])*$B49/1000))</f>
        <v/>
      </c>
      <c r="L49" s="16" t="str" cm="1">
        <f t="array" aca="1" ref="L49" ca="1">IF($A49="","",_xlfn.XLOOKUP($A49,INDIRECT("Table1[Type gebouw]"),Table1[Laadinfra])*$B49/1000)</f>
        <v/>
      </c>
      <c r="M49" s="14" t="str">
        <f t="shared" si="0"/>
        <v/>
      </c>
      <c r="N49" s="14" t="str">
        <f>IF($A49="","",_xlfn.XLOOKUP(M49/cos_phi,Aansluitcategorie!$A$4:$A$15,Aansluitcategorie!$B$4:$B$15,,1,1))</f>
        <v/>
      </c>
      <c r="O49" s="15" t="str" cm="1">
        <f t="array" aca="1" ref="O49" ca="1">IF($A49="","",_xlfn.XLOOKUP($A49,INDIRECT("Table1[Type gebouw]"),Table1[Opmerking]))</f>
        <v/>
      </c>
    </row>
    <row r="50" spans="1:15">
      <c r="A50" s="11"/>
      <c r="B50" s="12"/>
      <c r="C50" s="13" t="str" cm="1">
        <f t="array" aca="1" ref="C50" ca="1">IF($A50="","",_xlfn.XLOOKUP($A50,INDIRECT("Table1[Type gebouw]"),Table1[rekeneenheid]))</f>
        <v/>
      </c>
      <c r="D50" s="11"/>
      <c r="E50" s="4" t="str" cm="1">
        <f t="array" aca="1" ref="E50" ca="1">IF(A50="","",_xlfn.XLOOKUP($A50,INDIRECT("Table1[Type gebouw]"),Table1[Verwarmd]))</f>
        <v/>
      </c>
      <c r="F50" s="26"/>
      <c r="G50" s="16" t="str" cm="1">
        <f t="array" aca="1" ref="G50" ca="1">IF($A50="","",IF($E50=0,0,_xlfn.XLOOKUP($A50, INDIRECT("Table1[Type gebouw]"), CHOOSE(MATCH($D50, {"bodemwarmtepomp";"luchtwarmtepomp";"stadswarmte/gasketel"}, 0),
Table1[bodemwarmtepomp warmte], Table1[luchtwarmtepomp warmte], Table1[stadswarmte/gasketel warmte], "" ), "")*$B50/1000))</f>
        <v/>
      </c>
      <c r="H50" s="16" t="str" cm="1">
        <f t="array" aca="1" ref="H50" ca="1">IF($A50="","",IF($E50=0,0,_xlfn.XLOOKUP($A50, INDIRECT("Table1[Type gebouw]"), CHOOSE(MATCH($D50, {"bodemwarmtepomp";"luchtwarmtepomp";"stadswarmte/gasketel"}, 0),
Table1[bodemwarmtepomp koeling], Table1[luchtwarmtepomp koeling], Table1[Stadswarmte/gasketel koeling], "" ), "")*$B50/1000))</f>
        <v/>
      </c>
      <c r="I50" s="16" t="str" cm="1">
        <f t="array" aca="1" ref="I50" ca="1">IF($A50="","",_xlfn.XLOOKUP($A50,INDIRECT("Table1[Type gebouw]"),Table1[Verlichting])*$B50/1000)</f>
        <v/>
      </c>
      <c r="J50" s="16" t="str" cm="1">
        <f t="array" aca="1" ref="J50" ca="1">IF($A50="","",_xlfn.XLOOKUP($A50,INDIRECT("Table1[Type gebouw]"),Table1[Ventilatie])*$B50/1000)</f>
        <v/>
      </c>
      <c r="K50" s="16" t="str" cm="1">
        <f t="array" aca="1" ref="K50" ca="1">IF($A50="","",IF(AND(A50="parkeergarage onder woongebouw",B50&gt;1000),100,_xlfn.XLOOKUP($A50,INDIRECT("Table1[Type gebouw]"),Table1[gebruikersvoorzieningen])*$B50/1000))</f>
        <v/>
      </c>
      <c r="L50" s="16" t="str" cm="1">
        <f t="array" aca="1" ref="L50" ca="1">IF($A50="","",_xlfn.XLOOKUP($A50,INDIRECT("Table1[Type gebouw]"),Table1[Laadinfra])*$B50/1000)</f>
        <v/>
      </c>
      <c r="M50" s="14" t="str">
        <f t="shared" si="0"/>
        <v/>
      </c>
      <c r="N50" s="14" t="str">
        <f>IF($A50="","",_xlfn.XLOOKUP(M50/cos_phi,Aansluitcategorie!$A$4:$A$15,Aansluitcategorie!$B$4:$B$15,,1,1))</f>
        <v/>
      </c>
      <c r="O50" s="15" t="str" cm="1">
        <f t="array" aca="1" ref="O50" ca="1">IF($A50="","",_xlfn.XLOOKUP($A50,INDIRECT("Table1[Type gebouw]"),Table1[Opmerking]))</f>
        <v/>
      </c>
    </row>
    <row r="51" spans="1:15" ht="28.9">
      <c r="A51" s="20" t="s">
        <v>35</v>
      </c>
      <c r="B51" s="21"/>
      <c r="C51" s="15"/>
      <c r="D51" s="15"/>
      <c r="E51" s="15"/>
      <c r="F51" s="15"/>
      <c r="G51" s="15"/>
      <c r="H51" s="15"/>
      <c r="I51" s="15"/>
      <c r="J51" s="15"/>
      <c r="K51" s="15"/>
      <c r="L51" s="15"/>
      <c r="M51" s="13">
        <f ca="1">SUM(M21:M50)</f>
        <v>406.66666666666669</v>
      </c>
      <c r="N51" s="27" t="str">
        <f ca="1">IF($A51="","",_xlfn.XLOOKUP(M51/cos_phi,Aansluitcategorie!$A$4:$A$15,Aansluitcategorie!$B$4:$B$15,,1,1))</f>
        <v>t/m 630 kVA</v>
      </c>
      <c r="O51" s="28" t="s">
        <v>36</v>
      </c>
    </row>
  </sheetData>
  <mergeCells count="1">
    <mergeCell ref="B2:N5"/>
  </mergeCells>
  <conditionalFormatting sqref="D21:D50">
    <cfRule type="expression" dxfId="12" priority="1">
      <formula>ISNA($G21)</formula>
    </cfRule>
  </conditionalFormatting>
  <dataValidations count="2">
    <dataValidation type="list" allowBlank="1" showInputMessage="1" showErrorMessage="1" sqref="A21:A50" xr:uid="{6002B397-879D-4AE5-98D4-558A18637BEA}">
      <formula1>INDIRECT("Table1[Type gebouw]")</formula1>
    </dataValidation>
    <dataValidation type="list" allowBlank="1" showInputMessage="1" showErrorMessage="1" sqref="D21:D50" xr:uid="{27E428BA-480E-41A2-B1C9-09E00C8DAF59}">
      <formula1>"bodemwarmtepomp,luchtwarmtepomp,stadswarmte/gasketel"</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progId="Packager Shell Object" shapeId="3081" r:id="rId4">
          <objectPr defaultSize="0" r:id="rId5">
            <anchor moveWithCells="1">
              <from>
                <xdr:col>1</xdr:col>
                <xdr:colOff>0</xdr:colOff>
                <xdr:row>17</xdr:row>
                <xdr:rowOff>0</xdr:rowOff>
              </from>
              <to>
                <xdr:col>5</xdr:col>
                <xdr:colOff>838200</xdr:colOff>
                <xdr:row>17</xdr:row>
                <xdr:rowOff>518160</xdr:rowOff>
              </to>
            </anchor>
          </objectPr>
        </oleObject>
      </mc:Choice>
      <mc:Fallback>
        <oleObject progId="Packager Shell Object" shapeId="308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N34"/>
  <sheetViews>
    <sheetView zoomScaleNormal="100" workbookViewId="0">
      <pane ySplit="2" topLeftCell="A3" activePane="bottomLeft" state="frozen"/>
      <selection pane="bottomLeft" activeCell="A4" sqref="A4"/>
    </sheetView>
  </sheetViews>
  <sheetFormatPr defaultRowHeight="14.45"/>
  <cols>
    <col min="1" max="1" width="58.5703125" customWidth="1"/>
    <col min="2" max="2" width="16" bestFit="1" customWidth="1"/>
    <col min="3" max="3" width="98.140625" bestFit="1" customWidth="1"/>
    <col min="4" max="4" width="16" bestFit="1" customWidth="1"/>
    <col min="5" max="8" width="23.5703125" bestFit="1" customWidth="1"/>
    <col min="9" max="9" width="30.85546875" bestFit="1" customWidth="1"/>
    <col min="10" max="10" width="43.28515625" bestFit="1" customWidth="1"/>
    <col min="11" max="11" width="17.28515625" bestFit="1" customWidth="1"/>
    <col min="12" max="12" width="16.140625" customWidth="1"/>
    <col min="13" max="13" width="32" bestFit="1" customWidth="1"/>
    <col min="14" max="14" width="14.42578125" bestFit="1" customWidth="1"/>
  </cols>
  <sheetData>
    <row r="1" spans="1:14" ht="69.75" customHeight="1">
      <c r="E1" s="30" t="s">
        <v>37</v>
      </c>
      <c r="F1" s="30"/>
      <c r="G1" s="30"/>
      <c r="H1" s="30"/>
      <c r="I1" s="30"/>
      <c r="J1" s="30"/>
      <c r="K1" s="30"/>
      <c r="L1" s="30"/>
      <c r="M1" s="30"/>
      <c r="N1" s="30"/>
    </row>
    <row r="2" spans="1:14">
      <c r="A2" t="s">
        <v>38</v>
      </c>
      <c r="B2" t="s">
        <v>39</v>
      </c>
      <c r="C2" t="s">
        <v>40</v>
      </c>
      <c r="D2" t="s">
        <v>41</v>
      </c>
      <c r="E2" t="s">
        <v>42</v>
      </c>
      <c r="F2" t="s">
        <v>43</v>
      </c>
      <c r="G2" t="s">
        <v>44</v>
      </c>
      <c r="H2" t="s">
        <v>45</v>
      </c>
      <c r="I2" t="s">
        <v>46</v>
      </c>
      <c r="J2" t="s">
        <v>47</v>
      </c>
      <c r="K2" t="s">
        <v>48</v>
      </c>
      <c r="L2" t="s">
        <v>49</v>
      </c>
      <c r="M2" t="s">
        <v>50</v>
      </c>
      <c r="N2" t="s">
        <v>51</v>
      </c>
    </row>
    <row r="3" spans="1:14">
      <c r="A3" s="1" t="s">
        <v>34</v>
      </c>
      <c r="B3" s="1" t="s">
        <v>52</v>
      </c>
      <c r="C3" s="1" t="s">
        <v>53</v>
      </c>
      <c r="D3">
        <v>1</v>
      </c>
      <c r="E3" s="18">
        <f t="shared" ref="E3:E7" si="0">50/4</f>
        <v>12.5</v>
      </c>
      <c r="F3" s="18">
        <f t="shared" ref="F3:F29" si="1">50/12</f>
        <v>4.166666666666667</v>
      </c>
      <c r="G3" s="18">
        <f t="shared" ref="G3:G29" si="2">50/3</f>
        <v>16.666666666666668</v>
      </c>
      <c r="H3" s="18">
        <f t="shared" ref="H3:H29" si="3">50/4</f>
        <v>12.5</v>
      </c>
      <c r="I3" s="18">
        <v>0</v>
      </c>
      <c r="J3" s="18">
        <v>0</v>
      </c>
      <c r="K3" s="18">
        <v>1</v>
      </c>
      <c r="L3" s="18">
        <v>2</v>
      </c>
      <c r="M3" s="18">
        <v>5</v>
      </c>
      <c r="N3" s="18"/>
    </row>
    <row r="4" spans="1:14">
      <c r="A4" t="s">
        <v>32</v>
      </c>
      <c r="B4" s="1" t="s">
        <v>54</v>
      </c>
      <c r="C4" s="1" t="s">
        <v>55</v>
      </c>
      <c r="D4">
        <v>0</v>
      </c>
      <c r="E4" s="18">
        <v>0</v>
      </c>
      <c r="F4" s="18">
        <v>0</v>
      </c>
      <c r="G4" s="18">
        <v>0</v>
      </c>
      <c r="H4" s="18">
        <v>0</v>
      </c>
      <c r="I4" s="18">
        <v>0</v>
      </c>
      <c r="J4" s="18">
        <v>0</v>
      </c>
      <c r="K4" s="18">
        <v>100</v>
      </c>
      <c r="L4" s="18">
        <v>0</v>
      </c>
      <c r="M4" s="18">
        <v>1500</v>
      </c>
      <c r="N4" s="18"/>
    </row>
    <row r="5" spans="1:14">
      <c r="A5" s="1" t="s">
        <v>56</v>
      </c>
      <c r="B5" s="1" t="s">
        <v>52</v>
      </c>
      <c r="C5" s="1" t="s">
        <v>57</v>
      </c>
      <c r="D5">
        <v>0</v>
      </c>
      <c r="E5" s="18">
        <v>0</v>
      </c>
      <c r="F5" s="18">
        <v>0</v>
      </c>
      <c r="G5" s="18">
        <v>0</v>
      </c>
      <c r="H5" s="18">
        <v>0</v>
      </c>
      <c r="I5" s="18">
        <v>0</v>
      </c>
      <c r="J5" s="18">
        <v>0</v>
      </c>
      <c r="K5" s="18">
        <v>3</v>
      </c>
      <c r="L5" s="18">
        <v>6</v>
      </c>
      <c r="M5" s="18">
        <v>0</v>
      </c>
      <c r="N5" s="18"/>
    </row>
    <row r="6" spans="1:14">
      <c r="A6" s="1" t="s">
        <v>58</v>
      </c>
      <c r="B6" s="1" t="s">
        <v>54</v>
      </c>
      <c r="C6" t="s">
        <v>59</v>
      </c>
      <c r="D6">
        <v>1</v>
      </c>
      <c r="E6" s="18">
        <f>50*100/4</f>
        <v>1250</v>
      </c>
      <c r="F6" s="18">
        <f>50*100/12</f>
        <v>416.66666666666669</v>
      </c>
      <c r="G6" s="18">
        <f>50*100/3</f>
        <v>1666.6666666666667</v>
      </c>
      <c r="H6" s="18">
        <f>50*100/4</f>
        <v>1250</v>
      </c>
      <c r="I6" s="18">
        <v>0</v>
      </c>
      <c r="J6" s="18">
        <v>0</v>
      </c>
      <c r="K6" s="18">
        <v>100</v>
      </c>
      <c r="L6" s="19">
        <v>100</v>
      </c>
      <c r="M6" s="18">
        <v>1500</v>
      </c>
      <c r="N6" s="18"/>
    </row>
    <row r="7" spans="1:14" ht="14.1" customHeight="1">
      <c r="A7" t="s">
        <v>60</v>
      </c>
      <c r="B7" s="1" t="s">
        <v>52</v>
      </c>
      <c r="C7" t="s">
        <v>61</v>
      </c>
      <c r="D7">
        <v>1</v>
      </c>
      <c r="E7" s="18">
        <f t="shared" si="0"/>
        <v>12.5</v>
      </c>
      <c r="F7" s="18">
        <f t="shared" si="1"/>
        <v>4.166666666666667</v>
      </c>
      <c r="G7" s="18">
        <f t="shared" si="2"/>
        <v>16.666666666666668</v>
      </c>
      <c r="H7" s="18">
        <f t="shared" si="3"/>
        <v>12.5</v>
      </c>
      <c r="I7" s="18">
        <v>0</v>
      </c>
      <c r="J7" s="18">
        <f t="shared" ref="J7:J29" si="4">50/4</f>
        <v>12.5</v>
      </c>
      <c r="K7" s="18">
        <v>10</v>
      </c>
      <c r="L7" s="18">
        <v>2</v>
      </c>
      <c r="M7" s="18">
        <v>80</v>
      </c>
      <c r="N7" s="18"/>
    </row>
    <row r="8" spans="1:14" ht="14.25" customHeight="1">
      <c r="A8" t="s">
        <v>62</v>
      </c>
      <c r="B8" s="1" t="s">
        <v>52</v>
      </c>
      <c r="C8" t="s">
        <v>61</v>
      </c>
      <c r="D8">
        <v>1</v>
      </c>
      <c r="E8" s="18">
        <f t="shared" ref="E8:E29" si="5">50/4</f>
        <v>12.5</v>
      </c>
      <c r="F8" s="18">
        <f t="shared" si="1"/>
        <v>4.166666666666667</v>
      </c>
      <c r="G8" s="18">
        <f t="shared" si="2"/>
        <v>16.666666666666668</v>
      </c>
      <c r="H8" s="18">
        <f t="shared" si="3"/>
        <v>12.5</v>
      </c>
      <c r="I8" s="18">
        <v>0</v>
      </c>
      <c r="J8" s="18">
        <f t="shared" si="4"/>
        <v>12.5</v>
      </c>
      <c r="K8" s="18">
        <v>10</v>
      </c>
      <c r="L8" s="18">
        <v>2</v>
      </c>
      <c r="M8" s="18">
        <v>100</v>
      </c>
      <c r="N8" s="18"/>
    </row>
    <row r="9" spans="1:14" ht="14.25" customHeight="1">
      <c r="A9" t="s">
        <v>63</v>
      </c>
      <c r="B9" s="1" t="s">
        <v>52</v>
      </c>
      <c r="C9" t="s">
        <v>61</v>
      </c>
      <c r="D9">
        <v>1</v>
      </c>
      <c r="E9" s="18">
        <f t="shared" si="5"/>
        <v>12.5</v>
      </c>
      <c r="F9" s="18">
        <f t="shared" si="1"/>
        <v>4.166666666666667</v>
      </c>
      <c r="G9" s="18">
        <f t="shared" si="2"/>
        <v>16.666666666666668</v>
      </c>
      <c r="H9" s="18">
        <f t="shared" si="3"/>
        <v>12.5</v>
      </c>
      <c r="I9" s="18">
        <v>0</v>
      </c>
      <c r="J9" s="18">
        <f t="shared" si="4"/>
        <v>12.5</v>
      </c>
      <c r="K9" s="18">
        <v>10</v>
      </c>
      <c r="L9" s="18">
        <v>2</v>
      </c>
      <c r="M9" s="18">
        <v>100</v>
      </c>
      <c r="N9" s="18"/>
    </row>
    <row r="10" spans="1:14" ht="14.25" customHeight="1">
      <c r="A10" t="s">
        <v>64</v>
      </c>
      <c r="B10" s="1" t="s">
        <v>52</v>
      </c>
      <c r="C10" t="s">
        <v>61</v>
      </c>
      <c r="D10">
        <v>1</v>
      </c>
      <c r="E10" s="18">
        <f t="shared" si="5"/>
        <v>12.5</v>
      </c>
      <c r="F10" s="18">
        <f t="shared" si="1"/>
        <v>4.166666666666667</v>
      </c>
      <c r="G10" s="18">
        <f t="shared" si="2"/>
        <v>16.666666666666668</v>
      </c>
      <c r="H10" s="18">
        <f t="shared" si="3"/>
        <v>12.5</v>
      </c>
      <c r="I10" s="18">
        <v>0</v>
      </c>
      <c r="J10" s="18">
        <f t="shared" si="4"/>
        <v>12.5</v>
      </c>
      <c r="K10" s="18">
        <v>5</v>
      </c>
      <c r="L10" s="18">
        <v>1</v>
      </c>
      <c r="M10" s="18">
        <v>60</v>
      </c>
      <c r="N10" s="18"/>
    </row>
    <row r="11" spans="1:14">
      <c r="A11" t="s">
        <v>65</v>
      </c>
      <c r="B11" s="1" t="s">
        <v>52</v>
      </c>
      <c r="C11" t="s">
        <v>66</v>
      </c>
      <c r="D11">
        <v>1</v>
      </c>
      <c r="E11" s="18">
        <f t="shared" si="5"/>
        <v>12.5</v>
      </c>
      <c r="F11" s="18">
        <f t="shared" si="1"/>
        <v>4.166666666666667</v>
      </c>
      <c r="G11" s="18">
        <f t="shared" si="2"/>
        <v>16.666666666666668</v>
      </c>
      <c r="H11" s="18">
        <f t="shared" si="3"/>
        <v>12.5</v>
      </c>
      <c r="I11" s="18">
        <v>0</v>
      </c>
      <c r="J11" s="18">
        <f t="shared" si="4"/>
        <v>12.5</v>
      </c>
      <c r="K11" s="18">
        <v>15</v>
      </c>
      <c r="L11" s="18">
        <v>2</v>
      </c>
      <c r="M11" s="18">
        <v>100</v>
      </c>
      <c r="N11" s="18"/>
    </row>
    <row r="12" spans="1:14" ht="14.25" customHeight="1">
      <c r="A12" t="s">
        <v>67</v>
      </c>
      <c r="B12" s="1" t="s">
        <v>52</v>
      </c>
      <c r="C12" t="s">
        <v>66</v>
      </c>
      <c r="D12">
        <v>1</v>
      </c>
      <c r="E12" s="18">
        <f t="shared" si="5"/>
        <v>12.5</v>
      </c>
      <c r="F12" s="18">
        <f t="shared" si="1"/>
        <v>4.166666666666667</v>
      </c>
      <c r="G12" s="18">
        <f t="shared" si="2"/>
        <v>16.666666666666668</v>
      </c>
      <c r="H12" s="18">
        <f t="shared" si="3"/>
        <v>12.5</v>
      </c>
      <c r="I12" s="18">
        <v>0</v>
      </c>
      <c r="J12" s="18">
        <f t="shared" si="4"/>
        <v>12.5</v>
      </c>
      <c r="K12" s="18">
        <v>15</v>
      </c>
      <c r="L12" s="18">
        <v>2</v>
      </c>
      <c r="M12" s="18">
        <v>120</v>
      </c>
      <c r="N12" s="18"/>
    </row>
    <row r="13" spans="1:14">
      <c r="A13" t="s">
        <v>68</v>
      </c>
      <c r="B13" s="1" t="s">
        <v>52</v>
      </c>
      <c r="C13" t="s">
        <v>66</v>
      </c>
      <c r="D13">
        <v>1</v>
      </c>
      <c r="E13" s="18">
        <f t="shared" si="5"/>
        <v>12.5</v>
      </c>
      <c r="F13" s="18">
        <f t="shared" si="1"/>
        <v>4.166666666666667</v>
      </c>
      <c r="G13" s="18">
        <f t="shared" si="2"/>
        <v>16.666666666666668</v>
      </c>
      <c r="H13" s="18">
        <f t="shared" si="3"/>
        <v>12.5</v>
      </c>
      <c r="I13" s="18">
        <v>0</v>
      </c>
      <c r="J13" s="18">
        <f t="shared" si="4"/>
        <v>12.5</v>
      </c>
      <c r="K13" s="18">
        <v>15</v>
      </c>
      <c r="L13" s="18">
        <v>2</v>
      </c>
      <c r="M13" s="18">
        <v>5</v>
      </c>
      <c r="N13" s="18"/>
    </row>
    <row r="14" spans="1:14" ht="14.25" customHeight="1">
      <c r="A14" t="s">
        <v>69</v>
      </c>
      <c r="B14" s="1" t="s">
        <v>52</v>
      </c>
      <c r="C14" t="s">
        <v>70</v>
      </c>
      <c r="D14">
        <v>1</v>
      </c>
      <c r="E14" s="18">
        <f t="shared" si="5"/>
        <v>12.5</v>
      </c>
      <c r="F14" s="18">
        <f t="shared" si="1"/>
        <v>4.166666666666667</v>
      </c>
      <c r="G14" s="18">
        <f t="shared" si="2"/>
        <v>16.666666666666668</v>
      </c>
      <c r="H14" s="18">
        <f t="shared" si="3"/>
        <v>12.5</v>
      </c>
      <c r="I14" s="18">
        <v>0</v>
      </c>
      <c r="J14" s="18">
        <f t="shared" si="4"/>
        <v>12.5</v>
      </c>
      <c r="K14" s="18">
        <v>5</v>
      </c>
      <c r="L14" s="18">
        <v>2</v>
      </c>
      <c r="M14" s="18">
        <v>20</v>
      </c>
      <c r="N14" s="18"/>
    </row>
    <row r="15" spans="1:14">
      <c r="A15" t="s">
        <v>71</v>
      </c>
      <c r="B15" s="1" t="s">
        <v>52</v>
      </c>
      <c r="C15" t="s">
        <v>72</v>
      </c>
      <c r="D15">
        <v>1</v>
      </c>
      <c r="E15" s="18">
        <f t="shared" si="5"/>
        <v>12.5</v>
      </c>
      <c r="F15" s="18">
        <f t="shared" si="1"/>
        <v>4.166666666666667</v>
      </c>
      <c r="G15" s="18">
        <f t="shared" si="2"/>
        <v>16.666666666666668</v>
      </c>
      <c r="H15" s="18">
        <f t="shared" si="3"/>
        <v>12.5</v>
      </c>
      <c r="I15" s="18">
        <v>0</v>
      </c>
      <c r="J15" s="18">
        <f t="shared" si="4"/>
        <v>12.5</v>
      </c>
      <c r="K15" s="18">
        <v>5</v>
      </c>
      <c r="L15" s="18">
        <v>2</v>
      </c>
      <c r="M15" s="18">
        <v>20</v>
      </c>
      <c r="N15" s="18"/>
    </row>
    <row r="16" spans="1:14">
      <c r="A16" t="s">
        <v>73</v>
      </c>
      <c r="B16" s="1" t="s">
        <v>52</v>
      </c>
      <c r="C16" t="s">
        <v>66</v>
      </c>
      <c r="D16">
        <v>1</v>
      </c>
      <c r="E16" s="18">
        <f t="shared" si="5"/>
        <v>12.5</v>
      </c>
      <c r="F16" s="18">
        <f t="shared" si="1"/>
        <v>4.166666666666667</v>
      </c>
      <c r="G16" s="18">
        <f t="shared" si="2"/>
        <v>16.666666666666668</v>
      </c>
      <c r="H16" s="18">
        <f t="shared" si="3"/>
        <v>12.5</v>
      </c>
      <c r="I16" s="18">
        <v>0</v>
      </c>
      <c r="J16" s="18">
        <f t="shared" si="4"/>
        <v>12.5</v>
      </c>
      <c r="K16" s="18">
        <v>5</v>
      </c>
      <c r="L16" s="18">
        <v>2</v>
      </c>
      <c r="M16" s="18">
        <v>10</v>
      </c>
      <c r="N16" s="18"/>
    </row>
    <row r="17" spans="1:14">
      <c r="A17" t="s">
        <v>74</v>
      </c>
      <c r="B17" s="1" t="s">
        <v>52</v>
      </c>
      <c r="C17" t="s">
        <v>66</v>
      </c>
      <c r="D17">
        <v>1</v>
      </c>
      <c r="E17" s="18">
        <f t="shared" si="5"/>
        <v>12.5</v>
      </c>
      <c r="F17" s="18">
        <f t="shared" si="1"/>
        <v>4.166666666666667</v>
      </c>
      <c r="G17" s="18">
        <f t="shared" si="2"/>
        <v>16.666666666666668</v>
      </c>
      <c r="H17" s="18">
        <f t="shared" si="3"/>
        <v>12.5</v>
      </c>
      <c r="I17" s="18">
        <v>0</v>
      </c>
      <c r="J17" s="18">
        <f t="shared" si="4"/>
        <v>12.5</v>
      </c>
      <c r="K17" s="18">
        <v>5</v>
      </c>
      <c r="L17" s="18">
        <v>4</v>
      </c>
      <c r="M17" s="18">
        <v>10</v>
      </c>
      <c r="N17" s="18"/>
    </row>
    <row r="18" spans="1:14" ht="14.25" customHeight="1">
      <c r="A18" t="s">
        <v>75</v>
      </c>
      <c r="B18" s="1" t="s">
        <v>52</v>
      </c>
      <c r="C18" t="s">
        <v>66</v>
      </c>
      <c r="D18">
        <v>1</v>
      </c>
      <c r="E18" s="18">
        <f t="shared" si="5"/>
        <v>12.5</v>
      </c>
      <c r="F18" s="18">
        <f t="shared" si="1"/>
        <v>4.166666666666667</v>
      </c>
      <c r="G18" s="18">
        <f t="shared" si="2"/>
        <v>16.666666666666668</v>
      </c>
      <c r="H18" s="18">
        <f t="shared" si="3"/>
        <v>12.5</v>
      </c>
      <c r="I18" s="18">
        <v>0</v>
      </c>
      <c r="J18" s="18">
        <f t="shared" si="4"/>
        <v>12.5</v>
      </c>
      <c r="K18" s="18">
        <v>5</v>
      </c>
      <c r="L18" s="18">
        <v>3</v>
      </c>
      <c r="M18" s="18">
        <v>15</v>
      </c>
      <c r="N18" s="18"/>
    </row>
    <row r="19" spans="1:14" ht="14.25" customHeight="1">
      <c r="A19" t="s">
        <v>76</v>
      </c>
      <c r="B19" s="1" t="s">
        <v>52</v>
      </c>
      <c r="C19" t="s">
        <v>77</v>
      </c>
      <c r="D19">
        <v>1</v>
      </c>
      <c r="E19" s="18">
        <f t="shared" si="5"/>
        <v>12.5</v>
      </c>
      <c r="F19" s="18">
        <f t="shared" si="1"/>
        <v>4.166666666666667</v>
      </c>
      <c r="G19" s="18">
        <f t="shared" si="2"/>
        <v>16.666666666666668</v>
      </c>
      <c r="H19" s="18">
        <f t="shared" si="3"/>
        <v>12.5</v>
      </c>
      <c r="I19" s="18">
        <v>0</v>
      </c>
      <c r="J19" s="18">
        <f t="shared" si="4"/>
        <v>12.5</v>
      </c>
      <c r="K19" s="18">
        <v>5</v>
      </c>
      <c r="L19" s="18">
        <v>3</v>
      </c>
      <c r="M19" s="18">
        <v>20</v>
      </c>
      <c r="N19" s="18"/>
    </row>
    <row r="20" spans="1:14" ht="14.25" customHeight="1">
      <c r="A20" t="s">
        <v>78</v>
      </c>
      <c r="B20" s="1" t="s">
        <v>52</v>
      </c>
      <c r="C20" t="s">
        <v>66</v>
      </c>
      <c r="D20">
        <v>1</v>
      </c>
      <c r="E20" s="18">
        <f t="shared" si="5"/>
        <v>12.5</v>
      </c>
      <c r="F20" s="18">
        <f t="shared" si="1"/>
        <v>4.166666666666667</v>
      </c>
      <c r="G20" s="18">
        <f t="shared" si="2"/>
        <v>16.666666666666668</v>
      </c>
      <c r="H20" s="18">
        <f t="shared" si="3"/>
        <v>12.5</v>
      </c>
      <c r="I20" s="18">
        <v>0</v>
      </c>
      <c r="J20" s="18">
        <f t="shared" si="4"/>
        <v>12.5</v>
      </c>
      <c r="K20" s="18">
        <v>5</v>
      </c>
      <c r="L20" s="18">
        <v>5</v>
      </c>
      <c r="M20" s="18">
        <v>20</v>
      </c>
      <c r="N20" s="18"/>
    </row>
    <row r="21" spans="1:14" ht="14.25" customHeight="1">
      <c r="A21" t="s">
        <v>79</v>
      </c>
      <c r="B21" s="1" t="s">
        <v>52</v>
      </c>
      <c r="C21" t="s">
        <v>80</v>
      </c>
      <c r="D21">
        <v>1</v>
      </c>
      <c r="E21" s="18">
        <f t="shared" si="5"/>
        <v>12.5</v>
      </c>
      <c r="F21" s="18">
        <f t="shared" si="1"/>
        <v>4.166666666666667</v>
      </c>
      <c r="G21" s="18">
        <f t="shared" si="2"/>
        <v>16.666666666666668</v>
      </c>
      <c r="H21" s="18">
        <f t="shared" si="3"/>
        <v>12.5</v>
      </c>
      <c r="I21" s="18">
        <v>0</v>
      </c>
      <c r="J21" s="18">
        <f t="shared" si="4"/>
        <v>12.5</v>
      </c>
      <c r="K21" s="18">
        <v>10</v>
      </c>
      <c r="L21" s="18">
        <v>4</v>
      </c>
      <c r="M21" s="18">
        <v>200</v>
      </c>
      <c r="N21" s="18"/>
    </row>
    <row r="22" spans="1:14" ht="14.25" customHeight="1">
      <c r="A22" t="s">
        <v>81</v>
      </c>
      <c r="B22" s="1" t="s">
        <v>52</v>
      </c>
      <c r="C22" t="s">
        <v>66</v>
      </c>
      <c r="D22">
        <v>1</v>
      </c>
      <c r="E22" s="18">
        <f t="shared" si="5"/>
        <v>12.5</v>
      </c>
      <c r="F22" s="18">
        <f t="shared" si="1"/>
        <v>4.166666666666667</v>
      </c>
      <c r="G22" s="18">
        <f t="shared" si="2"/>
        <v>16.666666666666668</v>
      </c>
      <c r="H22" s="18">
        <f t="shared" si="3"/>
        <v>12.5</v>
      </c>
      <c r="I22" s="18">
        <v>0</v>
      </c>
      <c r="J22" s="18">
        <f t="shared" si="4"/>
        <v>12.5</v>
      </c>
      <c r="K22" s="18">
        <v>10</v>
      </c>
      <c r="L22" s="18">
        <v>3</v>
      </c>
      <c r="M22" s="18">
        <v>15</v>
      </c>
      <c r="N22" s="18"/>
    </row>
    <row r="23" spans="1:14" ht="14.25" customHeight="1">
      <c r="A23" t="s">
        <v>82</v>
      </c>
      <c r="B23" s="1" t="s">
        <v>52</v>
      </c>
      <c r="C23" t="s">
        <v>66</v>
      </c>
      <c r="D23">
        <v>1</v>
      </c>
      <c r="E23" s="18">
        <f t="shared" si="5"/>
        <v>12.5</v>
      </c>
      <c r="F23" s="18">
        <f t="shared" si="1"/>
        <v>4.166666666666667</v>
      </c>
      <c r="G23" s="18">
        <f t="shared" si="2"/>
        <v>16.666666666666668</v>
      </c>
      <c r="H23" s="18">
        <f t="shared" si="3"/>
        <v>12.5</v>
      </c>
      <c r="I23" s="18">
        <v>1</v>
      </c>
      <c r="J23" s="18">
        <f t="shared" si="4"/>
        <v>12.5</v>
      </c>
      <c r="K23" s="18">
        <v>10</v>
      </c>
      <c r="L23" s="18">
        <v>3</v>
      </c>
      <c r="M23" s="18">
        <v>300</v>
      </c>
      <c r="N23" s="18"/>
    </row>
    <row r="24" spans="1:14" ht="14.25" customHeight="1">
      <c r="A24" t="s">
        <v>83</v>
      </c>
      <c r="B24" s="1" t="s">
        <v>52</v>
      </c>
      <c r="C24" t="s">
        <v>59</v>
      </c>
      <c r="D24">
        <v>1</v>
      </c>
      <c r="E24" s="18">
        <f t="shared" si="5"/>
        <v>12.5</v>
      </c>
      <c r="F24" s="18">
        <v>0</v>
      </c>
      <c r="G24" s="18">
        <f t="shared" si="2"/>
        <v>16.666666666666668</v>
      </c>
      <c r="H24" s="18">
        <f t="shared" si="3"/>
        <v>12.5</v>
      </c>
      <c r="I24" s="18">
        <v>0</v>
      </c>
      <c r="J24" s="18">
        <v>0</v>
      </c>
      <c r="K24" s="18">
        <v>5</v>
      </c>
      <c r="L24" s="18">
        <v>1</v>
      </c>
      <c r="M24" s="18">
        <v>20</v>
      </c>
      <c r="N24" s="18"/>
    </row>
    <row r="25" spans="1:14" ht="14.25" customHeight="1">
      <c r="A25" t="s">
        <v>84</v>
      </c>
      <c r="B25" s="1" t="s">
        <v>52</v>
      </c>
      <c r="C25" t="s">
        <v>85</v>
      </c>
      <c r="D25">
        <v>0</v>
      </c>
      <c r="E25" s="18">
        <v>0</v>
      </c>
      <c r="F25" s="18">
        <v>0</v>
      </c>
      <c r="G25" s="18">
        <v>0</v>
      </c>
      <c r="H25" s="18">
        <v>0</v>
      </c>
      <c r="I25" s="18">
        <v>0</v>
      </c>
      <c r="J25" s="18">
        <v>0</v>
      </c>
      <c r="K25" s="18">
        <v>2</v>
      </c>
      <c r="L25" s="18">
        <v>0</v>
      </c>
      <c r="M25" s="18">
        <v>0</v>
      </c>
      <c r="N25" s="18"/>
    </row>
    <row r="26" spans="1:14" ht="14.45" customHeight="1">
      <c r="A26" t="s">
        <v>86</v>
      </c>
      <c r="B26" s="1" t="s">
        <v>52</v>
      </c>
      <c r="C26" t="s">
        <v>66</v>
      </c>
      <c r="D26">
        <v>1</v>
      </c>
      <c r="E26" s="18">
        <f t="shared" si="5"/>
        <v>12.5</v>
      </c>
      <c r="F26" s="18">
        <f t="shared" si="1"/>
        <v>4.166666666666667</v>
      </c>
      <c r="G26" s="18">
        <f t="shared" si="2"/>
        <v>16.666666666666668</v>
      </c>
      <c r="H26" s="18">
        <f t="shared" si="3"/>
        <v>12.5</v>
      </c>
      <c r="I26" s="18">
        <v>0</v>
      </c>
      <c r="J26" s="18">
        <f t="shared" si="4"/>
        <v>12.5</v>
      </c>
      <c r="K26" s="18">
        <v>7.5</v>
      </c>
      <c r="L26" s="18">
        <v>2</v>
      </c>
      <c r="M26" s="18">
        <v>15</v>
      </c>
      <c r="N26" s="18"/>
    </row>
    <row r="27" spans="1:14" ht="14.25" customHeight="1">
      <c r="A27" t="s">
        <v>87</v>
      </c>
      <c r="B27" s="1" t="s">
        <v>52</v>
      </c>
      <c r="C27" t="s">
        <v>66</v>
      </c>
      <c r="D27">
        <v>1</v>
      </c>
      <c r="E27" s="18">
        <f t="shared" si="5"/>
        <v>12.5</v>
      </c>
      <c r="F27" s="18">
        <f t="shared" si="1"/>
        <v>4.166666666666667</v>
      </c>
      <c r="G27" s="18">
        <f t="shared" si="2"/>
        <v>16.666666666666668</v>
      </c>
      <c r="H27" s="18">
        <f t="shared" si="3"/>
        <v>12.5</v>
      </c>
      <c r="I27" s="18">
        <v>0</v>
      </c>
      <c r="J27" s="18">
        <f t="shared" si="4"/>
        <v>12.5</v>
      </c>
      <c r="K27" s="18">
        <v>5</v>
      </c>
      <c r="L27" s="18">
        <v>1</v>
      </c>
      <c r="M27" s="18">
        <v>10</v>
      </c>
      <c r="N27" s="18"/>
    </row>
    <row r="28" spans="1:14" ht="14.25" customHeight="1">
      <c r="A28" t="s">
        <v>88</v>
      </c>
      <c r="B28" s="1" t="s">
        <v>52</v>
      </c>
      <c r="C28" t="s">
        <v>66</v>
      </c>
      <c r="D28">
        <v>1</v>
      </c>
      <c r="E28" s="18">
        <f t="shared" si="5"/>
        <v>12.5</v>
      </c>
      <c r="F28" s="18">
        <f t="shared" si="1"/>
        <v>4.166666666666667</v>
      </c>
      <c r="G28" s="18">
        <f t="shared" si="2"/>
        <v>16.666666666666668</v>
      </c>
      <c r="H28" s="18">
        <f t="shared" si="3"/>
        <v>12.5</v>
      </c>
      <c r="I28" s="18">
        <v>0</v>
      </c>
      <c r="J28" s="18">
        <f t="shared" si="4"/>
        <v>12.5</v>
      </c>
      <c r="K28" s="18">
        <v>10</v>
      </c>
      <c r="L28" s="18">
        <v>3</v>
      </c>
      <c r="M28" s="18">
        <v>15</v>
      </c>
      <c r="N28" s="18"/>
    </row>
    <row r="29" spans="1:14" ht="14.25" customHeight="1">
      <c r="A29" t="s">
        <v>89</v>
      </c>
      <c r="B29" s="1" t="s">
        <v>52</v>
      </c>
      <c r="C29" t="s">
        <v>66</v>
      </c>
      <c r="D29">
        <v>1</v>
      </c>
      <c r="E29" s="18">
        <f t="shared" si="5"/>
        <v>12.5</v>
      </c>
      <c r="F29" s="18">
        <f t="shared" si="1"/>
        <v>4.166666666666667</v>
      </c>
      <c r="G29" s="18">
        <f t="shared" si="2"/>
        <v>16.666666666666668</v>
      </c>
      <c r="H29" s="18">
        <f t="shared" si="3"/>
        <v>12.5</v>
      </c>
      <c r="I29" s="18">
        <v>0</v>
      </c>
      <c r="J29" s="18">
        <f t="shared" si="4"/>
        <v>12.5</v>
      </c>
      <c r="K29" s="18">
        <v>10</v>
      </c>
      <c r="L29" s="18">
        <v>2</v>
      </c>
      <c r="M29" s="18">
        <v>5</v>
      </c>
      <c r="N29" s="18"/>
    </row>
    <row r="30" spans="1:14">
      <c r="A30" t="s">
        <v>90</v>
      </c>
      <c r="B30" s="1" t="s">
        <v>52</v>
      </c>
      <c r="C30" s="1" t="s">
        <v>91</v>
      </c>
      <c r="D30">
        <v>1</v>
      </c>
      <c r="E30" s="18">
        <f>10/4</f>
        <v>2.5</v>
      </c>
      <c r="F30" s="18">
        <f>10/12</f>
        <v>0.83333333333333337</v>
      </c>
      <c r="G30" s="18">
        <f>10/3</f>
        <v>3.3333333333333335</v>
      </c>
      <c r="H30" s="18">
        <f>10/4</f>
        <v>2.5</v>
      </c>
      <c r="I30" s="18">
        <v>0</v>
      </c>
      <c r="J30" s="18">
        <f>10/4</f>
        <v>2.5</v>
      </c>
      <c r="K30" s="18">
        <v>10</v>
      </c>
      <c r="L30" s="18">
        <v>0.5</v>
      </c>
      <c r="M30" s="18">
        <v>50</v>
      </c>
      <c r="N30" s="18"/>
    </row>
    <row r="31" spans="1:14">
      <c r="A31" s="1" t="s">
        <v>92</v>
      </c>
      <c r="B31" s="1" t="s">
        <v>52</v>
      </c>
      <c r="C31" s="1" t="s">
        <v>93</v>
      </c>
      <c r="D31">
        <v>1</v>
      </c>
      <c r="E31" s="18">
        <f t="shared" ref="E31" si="6">10/4</f>
        <v>2.5</v>
      </c>
      <c r="F31" s="18">
        <f t="shared" ref="F31" si="7">10/12</f>
        <v>0.83333333333333337</v>
      </c>
      <c r="G31" s="18">
        <f t="shared" ref="G31" si="8">10/3</f>
        <v>3.3333333333333335</v>
      </c>
      <c r="H31" s="18">
        <f t="shared" ref="H31" si="9">10/4</f>
        <v>2.5</v>
      </c>
      <c r="I31" s="18">
        <v>0</v>
      </c>
      <c r="J31" s="18">
        <f t="shared" ref="J31" si="10">10/4</f>
        <v>2.5</v>
      </c>
      <c r="K31" s="18">
        <v>5</v>
      </c>
      <c r="L31" s="18">
        <v>0.5</v>
      </c>
      <c r="M31" s="18">
        <v>10</v>
      </c>
      <c r="N31" s="18"/>
    </row>
    <row r="32" spans="1:14">
      <c r="A32" t="s">
        <v>94</v>
      </c>
      <c r="B32" s="1" t="s">
        <v>52</v>
      </c>
      <c r="C32" s="1" t="s">
        <v>93</v>
      </c>
      <c r="D32">
        <v>0</v>
      </c>
      <c r="E32" s="18">
        <v>0</v>
      </c>
      <c r="F32" s="18">
        <v>0</v>
      </c>
      <c r="G32" s="18">
        <v>0</v>
      </c>
      <c r="H32" s="18">
        <v>0</v>
      </c>
      <c r="I32" s="18">
        <v>0</v>
      </c>
      <c r="J32" s="18">
        <v>0</v>
      </c>
      <c r="K32" s="18">
        <v>5</v>
      </c>
      <c r="L32" s="18">
        <v>0.5</v>
      </c>
      <c r="M32" s="18">
        <v>10</v>
      </c>
      <c r="N32" s="18"/>
    </row>
    <row r="33" spans="1:14">
      <c r="A33" s="1" t="s">
        <v>95</v>
      </c>
      <c r="B33" s="1" t="s">
        <v>54</v>
      </c>
      <c r="C33" t="s">
        <v>96</v>
      </c>
      <c r="D33">
        <v>0</v>
      </c>
      <c r="E33" s="18"/>
      <c r="F33" s="18"/>
      <c r="G33" s="18"/>
      <c r="H33" s="18"/>
      <c r="I33" s="18"/>
      <c r="J33" s="18"/>
      <c r="K33" s="18"/>
      <c r="L33" s="19"/>
      <c r="M33" s="18"/>
      <c r="N33" s="18">
        <v>11000</v>
      </c>
    </row>
    <row r="34" spans="1:14">
      <c r="A34" s="1" t="s">
        <v>97</v>
      </c>
      <c r="B34" s="1" t="s">
        <v>54</v>
      </c>
      <c r="C34" t="s">
        <v>96</v>
      </c>
      <c r="D34">
        <v>0</v>
      </c>
      <c r="E34" s="18"/>
      <c r="F34" s="18"/>
      <c r="G34" s="18"/>
      <c r="H34" s="18"/>
      <c r="I34" s="18"/>
      <c r="J34" s="18"/>
      <c r="K34" s="18"/>
      <c r="L34" s="19"/>
      <c r="M34" s="18"/>
      <c r="N34" s="18">
        <v>22000</v>
      </c>
    </row>
  </sheetData>
  <sheetProtection sheet="1" objects="1" scenarios="1"/>
  <mergeCells count="1">
    <mergeCell ref="E1:N1"/>
  </mergeCells>
  <phoneticPr fontId="3" type="noConversion"/>
  <pageMargins left="0.85" right="0.67013900000000004" top="0.52777799999999997" bottom="0.2" header="0.25" footer="0.25"/>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F471-47A2-4EDD-B235-8F3B5F556901}">
  <sheetPr codeName="Sheet3"/>
  <dimension ref="A1:F15"/>
  <sheetViews>
    <sheetView workbookViewId="0">
      <selection activeCell="A4" sqref="A4"/>
    </sheetView>
  </sheetViews>
  <sheetFormatPr defaultRowHeight="14.45"/>
  <cols>
    <col min="1" max="1" width="27.7109375" bestFit="1" customWidth="1"/>
    <col min="2" max="2" width="14.42578125" bestFit="1" customWidth="1"/>
  </cols>
  <sheetData>
    <row r="1" spans="1:6">
      <c r="A1" s="1" t="s">
        <v>98</v>
      </c>
      <c r="B1" s="11">
        <v>0.9</v>
      </c>
    </row>
    <row r="2" spans="1:6">
      <c r="F2" s="17" t="s">
        <v>99</v>
      </c>
    </row>
    <row r="3" spans="1:6">
      <c r="A3" s="1" t="s">
        <v>100</v>
      </c>
      <c r="B3" s="1" t="s">
        <v>101</v>
      </c>
    </row>
    <row r="4" spans="1:6">
      <c r="A4" s="10">
        <f>SQRT(3)*400*25/1000</f>
        <v>17.320508075688771</v>
      </c>
      <c r="B4" t="s">
        <v>102</v>
      </c>
    </row>
    <row r="5" spans="1:6">
      <c r="A5" s="10">
        <f>SQRT(3)*400*35/1000</f>
        <v>24.248711305964278</v>
      </c>
      <c r="B5" t="s">
        <v>103</v>
      </c>
    </row>
    <row r="6" spans="1:6">
      <c r="A6" s="10">
        <f>SQRT(3)*400*50/1000</f>
        <v>34.641016151377542</v>
      </c>
      <c r="B6" t="s">
        <v>104</v>
      </c>
    </row>
    <row r="7" spans="1:6">
      <c r="A7" s="10">
        <f>SQRT(3)*400*63/1000</f>
        <v>43.647680350735705</v>
      </c>
      <c r="B7" t="s">
        <v>105</v>
      </c>
    </row>
    <row r="8" spans="1:6">
      <c r="A8" s="10">
        <f>SQRT(3)*400*80/1000</f>
        <v>55.42562584220407</v>
      </c>
      <c r="B8" t="s">
        <v>106</v>
      </c>
    </row>
    <row r="9" spans="1:6">
      <c r="A9" s="10">
        <f>SQRT(3)*400*125/1000</f>
        <v>86.602540378443862</v>
      </c>
      <c r="B9" s="1" t="s">
        <v>107</v>
      </c>
    </row>
    <row r="10" spans="1:6">
      <c r="A10">
        <v>175</v>
      </c>
      <c r="B10" s="1" t="s">
        <v>108</v>
      </c>
    </row>
    <row r="11" spans="1:6">
      <c r="A11">
        <v>630</v>
      </c>
      <c r="B11" s="1" t="s">
        <v>109</v>
      </c>
    </row>
    <row r="12" spans="1:6">
      <c r="A12">
        <v>1000</v>
      </c>
      <c r="B12" s="1" t="s">
        <v>110</v>
      </c>
    </row>
    <row r="13" spans="1:6">
      <c r="A13">
        <v>1750</v>
      </c>
      <c r="B13" s="1" t="s">
        <v>111</v>
      </c>
    </row>
    <row r="14" spans="1:6">
      <c r="A14">
        <v>5000</v>
      </c>
      <c r="B14" s="1" t="s">
        <v>112</v>
      </c>
    </row>
    <row r="15" spans="1:6">
      <c r="A15">
        <v>10000</v>
      </c>
      <c r="B15" s="1" t="s">
        <v>113</v>
      </c>
    </row>
  </sheetData>
  <sheetProtection sheet="1" objects="1" scenarios="1"/>
  <hyperlinks>
    <hyperlink ref="F2" r:id="rId1" xr:uid="{B3FDD1F2-32A4-4640-871E-558F9C44BA9D}"/>
  </hyperlinks>
  <pageMargins left="0.7" right="0.7" top="0.75" bottom="0.75" header="0.3" footer="0.3"/>
  <pageSetup paperSize="9"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6790e7-640d-4183-bdd1-2aa1dffcfe85" xsi:nil="true"/>
    <lcf76f155ced4ddcb4097134ff3c332f xmlns="b0d9c55e-4971-4b97-a20c-66fb79ffcc0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FEB8148D4B784FB04F4D224EE2B453" ma:contentTypeVersion="15" ma:contentTypeDescription="Een nieuw document maken." ma:contentTypeScope="" ma:versionID="e4b6fa3bfddd9291f80edf77c96bad26">
  <xsd:schema xmlns:xsd="http://www.w3.org/2001/XMLSchema" xmlns:xs="http://www.w3.org/2001/XMLSchema" xmlns:p="http://schemas.microsoft.com/office/2006/metadata/properties" xmlns:ns2="b0d9c55e-4971-4b97-a20c-66fb79ffcc08" xmlns:ns3="d36790e7-640d-4183-bdd1-2aa1dffcfe85" targetNamespace="http://schemas.microsoft.com/office/2006/metadata/properties" ma:root="true" ma:fieldsID="9e3f22392146d18e9daa3e21ca478fb4" ns2:_="" ns3:_="">
    <xsd:import namespace="b0d9c55e-4971-4b97-a20c-66fb79ffcc08"/>
    <xsd:import namespace="d36790e7-640d-4183-bdd1-2aa1dffcfe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9c55e-4971-4b97-a20c-66fb79ffcc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99bed0e-432a-4091-b929-67b863917b6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6790e7-640d-4183-bdd1-2aa1dffcfe8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c9431723-02c1-44cd-8b62-253872e71caa}" ma:internalName="TaxCatchAll" ma:showField="CatchAllData" ma:web="d36790e7-640d-4183-bdd1-2aa1dffcfe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FCB219-F665-4AF6-92E4-6A3208BFAF30}"/>
</file>

<file path=customXml/itemProps2.xml><?xml version="1.0" encoding="utf-8"?>
<ds:datastoreItem xmlns:ds="http://schemas.openxmlformats.org/officeDocument/2006/customXml" ds:itemID="{2A5BF7B6-A2EE-425E-ACAB-187FD7E832D6}"/>
</file>

<file path=customXml/itemProps3.xml><?xml version="1.0" encoding="utf-8"?>
<ds:datastoreItem xmlns:ds="http://schemas.openxmlformats.org/officeDocument/2006/customXml" ds:itemID="{3C040B9D-A350-43BA-B056-B6358EA0621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rlo</dc:creator>
  <cp:keywords/>
  <dc:description/>
  <cp:lastModifiedBy>Jeroen Engelsman</cp:lastModifiedBy>
  <cp:revision/>
  <dcterms:created xsi:type="dcterms:W3CDTF">2025-10-10T07:27:57Z</dcterms:created>
  <dcterms:modified xsi:type="dcterms:W3CDTF">2026-07-06T08:18:29Z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0x0101004FFEB8148D4B784FB04F4D224EE2B453</vt:lpwstr>
  </property>
  <property fmtid="{D5CDD505-2E9C-101B-9397-08002B2CF9AE}" pid="3" name="_dlc_DocIdItemGuid">
    <vt:lpwstr>78cee3ba-0fb1-4b0b-ae79-fd69a9fad5f3</vt:lpwstr>
  </property>
  <property fmtid="{D5CDD505-2E9C-101B-9397-08002B2CF9AE}" pid="4" name="PH_DocumentType">
    <vt:lpwstr/>
  </property>
  <property fmtid="{D5CDD505-2E9C-101B-9397-08002B2CF9AE}" pid="5" name="MSIP_Label_ea871968-df67-4817-ac85-f4a5f5ebb5dd_Enabled">
    <vt:lpwstr>true</vt:lpwstr>
  </property>
  <property fmtid="{D5CDD505-2E9C-101B-9397-08002B2CF9AE}" pid="6" name="MSIP_Label_ea871968-df67-4817-ac85-f4a5f5ebb5dd_SetDate">
    <vt:lpwstr>2026-06-25T15:19:51Z</vt:lpwstr>
  </property>
  <property fmtid="{D5CDD505-2E9C-101B-9397-08002B2CF9AE}" pid="7" name="MSIP_Label_ea871968-df67-4817-ac85-f4a5f5ebb5dd_Method">
    <vt:lpwstr>Standard</vt:lpwstr>
  </property>
  <property fmtid="{D5CDD505-2E9C-101B-9397-08002B2CF9AE}" pid="8" name="MSIP_Label_ea871968-df67-4817-ac85-f4a5f5ebb5dd_Name">
    <vt:lpwstr>Bedrijfsvertrouwelijk</vt:lpwstr>
  </property>
  <property fmtid="{D5CDD505-2E9C-101B-9397-08002B2CF9AE}" pid="9" name="MSIP_Label_ea871968-df67-4817-ac85-f4a5f5ebb5dd_SiteId">
    <vt:lpwstr>49c4cd82-8f65-4d6a-9a3b-0ecd07c0cf5b</vt:lpwstr>
  </property>
  <property fmtid="{D5CDD505-2E9C-101B-9397-08002B2CF9AE}" pid="10" name="MSIP_Label_ea871968-df67-4817-ac85-f4a5f5ebb5dd_ActionId">
    <vt:lpwstr>ec52ef30-b58e-44bb-ad40-711e21339d84</vt:lpwstr>
  </property>
  <property fmtid="{D5CDD505-2E9C-101B-9397-08002B2CF9AE}" pid="11" name="MSIP_Label_ea871968-df67-4817-ac85-f4a5f5ebb5dd_ContentBits">
    <vt:lpwstr>0</vt:lpwstr>
  </property>
  <property fmtid="{D5CDD505-2E9C-101B-9397-08002B2CF9AE}" pid="12" name="MSIP_Label_ea871968-df67-4817-ac85-f4a5f5ebb5dd_Tag">
    <vt:lpwstr>10, 3, 0, 1</vt:lpwstr>
  </property>
  <property fmtid="{D5CDD505-2E9C-101B-9397-08002B2CF9AE}" pid="13" name="MediaServiceImageTags">
    <vt:lpwstr/>
  </property>
</Properties>
</file>